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5" activeTab="7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r:id="rId5"/>
    <sheet name="6-valst.deleg.f-jų paskirst." sheetId="6" r:id="rId6"/>
    <sheet name="7-apyvartos lėšos" sheetId="7" r:id="rId7"/>
    <sheet name="8 -ES projektai" sheetId="8" r:id="rId8"/>
  </sheets>
  <definedNames>
    <definedName name="OLE_LINK2" localSheetId="0">'1-pajamos'!$A$1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<sst xmlns="http://schemas.openxmlformats.org/spreadsheetml/2006/main" count="1048" uniqueCount="634">
  <si>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</si>
  <si>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</si>
  <si>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</si>
  <si>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</si>
  <si>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</si>
  <si>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</si>
  <si>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</si>
  <si>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</si>
  <si>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</si>
  <si>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</si>
  <si>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</si>
  <si>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</si>
  <si>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</si>
  <si>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</si>
  <si>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</si>
  <si>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</si>
  <si>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</si>
  <si>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</si>
  <si>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</si>
  <si>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</si>
  <si>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</si>
  <si>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</si>
  <si>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</si>
  <si>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</si>
  <si>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</si>
  <si>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</si>
  <si>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</si>
  <si>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</si>
  <si>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</si>
  <si>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</si>
  <si>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</si>
  <si>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</si>
  <si>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</si>
  <si>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</si>
  <si>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</si>
  <si>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</si>
  <si>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</si>
  <si>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</si>
  <si>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</si>
  <si>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</si>
  <si>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</si>
  <si>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</si>
  <si>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</si>
  <si>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</si>
  <si>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</si>
  <si>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</si>
  <si>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</si>
  <si>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</si>
  <si>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</si>
  <si>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</si>
  <si>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</si>
  <si>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</si>
  <si>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</si>
  <si>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</si>
  <si>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1.3.4.2.1.2.</t>
  </si>
  <si>
    <t>Bendrosios dotacijos kompensacija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</si>
  <si>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</si>
  <si>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</si>
  <si>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</si>
  <si>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</si>
  <si>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</si>
  <si>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</si>
  <si>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</si>
  <si>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</si>
  <si>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</si>
  <si>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</si>
  <si>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</si>
  <si>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</si>
  <si>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</si>
  <si>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</si>
  <si>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</si>
  <si>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</si>
  <si>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</si>
  <si>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</si>
  <si>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</si>
  <si>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</si>
  <si>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</si>
  <si>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</si>
  <si>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</si>
  <si>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</si>
  <si>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</si>
  <si>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</si>
  <si>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</si>
  <si>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</si>
  <si>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</si>
  <si>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</si>
  <si>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</si>
  <si>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</si>
  <si>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</si>
  <si>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</si>
  <si>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</si>
  <si>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</si>
  <si>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</si>
  <si>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</si>
  <si>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</si>
  <si>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</si>
  <si>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</si>
  <si>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</si>
  <si>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</si>
  <si>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</si>
  <si>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</si>
  <si>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</si>
  <si>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</si>
  <si>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</si>
  <si>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</si>
  <si>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</si>
  <si>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</si>
  <si>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</si>
  <si>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</si>
  <si>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</si>
  <si>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</si>
  <si>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</si>
  <si>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</si>
  <si>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</si>
  <si>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</si>
  <si>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</si>
  <si>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</si>
  <si>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</si>
  <si>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</si>
  <si>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</si>
  <si>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</si>
  <si>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</si>
  <si>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</si>
  <si>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</si>
  <si>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</si>
  <si>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</si>
  <si>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</si>
  <si>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</si>
  <si>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</si>
  <si>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</si>
  <si>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</si>
  <si>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Obelių d/m</t>
  </si>
  <si>
    <t>Kavoliškio d/m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</si>
  <si>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</si>
  <si>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</si>
  <si>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</si>
  <si>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</si>
  <si>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</si>
  <si>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</si>
  <si>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</si>
  <si>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</si>
  <si>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</si>
  <si>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</si>
  <si>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</si>
  <si>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</si>
  <si>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</si>
  <si>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</si>
  <si>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</si>
  <si>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</si>
  <si>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</si>
  <si>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</si>
  <si>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</si>
  <si>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</si>
  <si>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</si>
  <si>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</si>
  <si>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</si>
  <si>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</si>
  <si>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</si>
  <si>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</si>
  <si>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</si>
  <si>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</si>
  <si>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</si>
  <si>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</si>
  <si>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</si>
  <si>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</si>
  <si>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</si>
  <si>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</si>
  <si>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</si>
  <si>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</si>
  <si>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</si>
  <si>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</si>
  <si>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</si>
  <si>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</si>
  <si>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</si>
  <si>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</si>
  <si>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</si>
  <si>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r>
      <t xml:space="preserve">       </t>
    </r>
    <r>
      <rPr>
        <b/>
        <sz val="10"/>
        <rFont val="Arial"/>
        <family val="2"/>
      </rPr>
      <t>IŠ VISO</t>
    </r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</si>
  <si>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</si>
  <si>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</si>
  <si>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</si>
  <si>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</si>
  <si>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</si>
  <si>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</si>
  <si>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</si>
  <si>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</si>
  <si>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</si>
  <si>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</si>
  <si>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</si>
  <si>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</si>
  <si>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</si>
  <si>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</si>
  <si>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</si>
  <si>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</si>
  <si>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</si>
  <si>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</si>
  <si>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IŠ VISO</t>
  </si>
  <si>
    <t>Turizmo ir tradicinių amatų informacijos ir koordinavimo centras</t>
  </si>
  <si>
    <t>( eurai)</t>
  </si>
  <si>
    <t>eurai</t>
  </si>
  <si>
    <t>Socialinėms išmokoms</t>
  </si>
  <si>
    <t xml:space="preserve">    J.Tumo-Vaižganto gimnazijos ir bendrabučio pastatų rekonstrukcija</t>
  </si>
  <si>
    <t xml:space="preserve">   Sveikatingumo,rekreacijos ir sporto komplekso statyba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</si>
  <si>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</si>
  <si>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</si>
  <si>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</si>
  <si>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</si>
  <si>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</si>
  <si>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</si>
  <si>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</si>
  <si>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</si>
  <si>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</si>
  <si>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</si>
  <si>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</si>
  <si>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</si>
  <si>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</si>
  <si>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</si>
  <si>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</si>
  <si>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</si>
  <si>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                    medžiagų įsigijimui          4 PR.</t>
  </si>
  <si>
    <t>Statybos ir infr.sk.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</si>
  <si>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</si>
  <si>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</si>
  <si>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</si>
  <si>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</si>
  <si>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</si>
  <si>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</si>
  <si>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</si>
  <si>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</si>
  <si>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</si>
  <si>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</si>
  <si>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</si>
  <si>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</si>
  <si>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</si>
  <si>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</si>
  <si>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</si>
  <si>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</si>
  <si>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 Obelių sen.</t>
  </si>
  <si>
    <t xml:space="preserve">  Pandėlio sen.</t>
  </si>
  <si>
    <t xml:space="preserve">   Panemunėlio sen.</t>
  </si>
  <si>
    <t xml:space="preserve">   Rokiškio kaim.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</si>
  <si>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</si>
  <si>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</si>
  <si>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</si>
  <si>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</si>
  <si>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</si>
  <si>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</si>
  <si>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</si>
  <si>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</si>
  <si>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</si>
  <si>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</si>
  <si>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</si>
  <si>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</si>
  <si>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</si>
  <si>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</si>
  <si>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</si>
  <si>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</si>
  <si>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</si>
  <si>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</si>
  <si>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</si>
  <si>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</si>
  <si>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</si>
  <si>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</si>
  <si>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</si>
  <si>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Priskirtos valstybinės žemės ir kito turto valdymo, naudojimo ir disponavimo juo patikėjimo teise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</si>
  <si>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</si>
  <si>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</si>
  <si>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</si>
  <si>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</si>
  <si>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</si>
  <si>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</si>
  <si>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Turizmo ir amatų</t>
  </si>
  <si>
    <t xml:space="preserve">   VšĮ Rokiškio rajono ligoninės pastatų inžinierinių sistemų atnaujinimas</t>
  </si>
  <si>
    <t xml:space="preserve">  J.Keliuočio viešosios bibliotekos pastato Rokiškyje ir kiemo rekonstravimas bei         modernizavimas ir priestato statyba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</si>
  <si>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</si>
  <si>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</si>
  <si>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</si>
  <si>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</si>
  <si>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</si>
  <si>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</si>
  <si>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</si>
  <si>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</si>
  <si>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</si>
  <si>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</si>
  <si>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</si>
  <si>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</si>
  <si>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</si>
  <si>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</si>
  <si>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</si>
  <si>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</si>
  <si>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savivaldybės dalis(prisidėjimas)</t>
  </si>
  <si>
    <t>avansinis</t>
  </si>
  <si>
    <t>netinkamos išlaidos</t>
  </si>
  <si>
    <t>Aušra Vingelienė</t>
  </si>
  <si>
    <t>Vida Paukštienė</t>
  </si>
  <si>
    <t xml:space="preserve">Sveikatingumo, rekreacijos ir sporto komplekso baseino statyba Rokiškyje </t>
  </si>
  <si>
    <t>Všį Rokiškio rajono ligoninės pastatų inžinierinių sistemų atnaujinimas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</si>
  <si>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</si>
  <si>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</si>
  <si>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</si>
  <si>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>Juodupės miestelio gyvenamosios vietovės atnaujinimas</t>
  </si>
  <si>
    <t>Obelių miesto gyvenamosios vietovės atnaujinimas</t>
  </si>
  <si>
    <t>VALSTYBĖS INVESTICIJŲ PROGRAMOJE NUMATYTOMS KAPITALO INVESTICIJOMS, IŠ JŲ:</t>
  </si>
  <si>
    <t>L/d Varpelis</t>
  </si>
  <si>
    <t>Suaugusiųjų ir jaunimo mokymo centras</t>
  </si>
  <si>
    <t>IŠ VISO:</t>
  </si>
  <si>
    <t xml:space="preserve">                             2017 m.vasario 24  d. sprendimo Nr.TS-</t>
  </si>
  <si>
    <t xml:space="preserve">  ROKIŠKIO RAJONO SAVIVALDYBĖS 2017 METŲ BIUDŽETAS</t>
  </si>
  <si>
    <t>Gyventojų pajamų mokestis</t>
  </si>
  <si>
    <t>Neveiksnių asmenų būklės peržiūrėjimas</t>
  </si>
  <si>
    <t xml:space="preserve">                                                             2017 m.vasario 24   d. sprendimo Nr.TS-</t>
  </si>
  <si>
    <t>ROKIŠKIO RAJONO SAVIVALDYBĖS BIUDŽETO 2017 METŲ VALSTYBĖS BIUDŽETO TIKSLINĖS LĖŠOS</t>
  </si>
  <si>
    <t>ROKIŠKIO RAJONO SAVIVALDYBĖS BIUDŽETINIŲ ĮSTAIGŲ 2017M. PAJAMOS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</si>
  <si>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</si>
  <si>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</si>
  <si>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</si>
  <si>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</si>
  <si>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2017 m. vasario 24 d. sprendimo Nr. TS-</t>
  </si>
  <si>
    <t>Panemunėlio pagrindinė mokykla</t>
  </si>
  <si>
    <t xml:space="preserve"> aplinkos apsaugos rėmimo spec. programa</t>
  </si>
  <si>
    <t xml:space="preserve">Finansų skyrius </t>
  </si>
  <si>
    <t>Valstybės biudžeto lėšos,skirtos neformaliam vaikų švietimui</t>
  </si>
  <si>
    <t>DOTACIJOS (14+20+21)</t>
  </si>
  <si>
    <t xml:space="preserve">        kreditoriniam įsiskolinimui dengti</t>
  </si>
  <si>
    <t xml:space="preserve">VALSTYBĖS DELEGUOTŲ  FUNKCIJŲ PASKIRSTYMAS   2017 M.  </t>
  </si>
  <si>
    <t xml:space="preserve"> Iš to sk.:DUF</t>
  </si>
  <si>
    <t xml:space="preserve">               soc.išmokos ( laidojimo pašalpos)     iš  viso</t>
  </si>
  <si>
    <t>Priešg. tarn.</t>
  </si>
  <si>
    <t>Visuomenės sveik.biuras</t>
  </si>
  <si>
    <t xml:space="preserve"> IŠ VISO VALSTYBĖS FUNKCIJOMS:</t>
  </si>
  <si>
    <t>Valstybės biudžeto lėšos neformaliam vaikų švietimui</t>
  </si>
  <si>
    <t xml:space="preserve">                                                                                      ROKIŠKIO RAJONO SAVIVALDYBĖS 2016 METŲ BIUDŽETAS</t>
  </si>
  <si>
    <t>ROKIŠKIO RAJONO SAVIVALDYBĖS 2017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</si>
  <si>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</si>
  <si>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</si>
  <si>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</si>
  <si>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</si>
  <si>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</si>
  <si>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</si>
  <si>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</si>
  <si>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VF*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</si>
  <si>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</si>
  <si>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</si>
  <si>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</si>
  <si>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</si>
  <si>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</si>
  <si>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</si>
  <si>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</si>
  <si>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</si>
  <si>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</si>
  <si>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</si>
  <si>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</si>
  <si>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</si>
  <si>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</si>
  <si>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</si>
  <si>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</si>
  <si>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</si>
  <si>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</si>
  <si>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</si>
  <si>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</si>
  <si>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</si>
  <si>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</si>
  <si>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Lėšos socialinėms paslaugoms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</si>
  <si>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</si>
  <si>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</si>
  <si>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</si>
  <si>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</si>
  <si>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</si>
  <si>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Vystomoji bendradarbiavimo veikla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</si>
  <si>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</si>
  <si>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</si>
  <si>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</si>
  <si>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</si>
  <si>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</si>
  <si>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</si>
  <si>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</si>
  <si>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</si>
  <si>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</si>
  <si>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Talentingų žmonių rėmimui</t>
  </si>
  <si>
    <t>Pasiruošimas 2018 m. dainų šventei</t>
  </si>
  <si>
    <t>Rotary klubui projektui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</si>
  <si>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</si>
  <si>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</si>
  <si>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</si>
  <si>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</si>
  <si>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</si>
  <si>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</si>
  <si>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</si>
  <si>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</si>
  <si>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iš to sk.: Valstybės investicijų programai</t>
  </si>
  <si>
    <t>VšĮ Juodupės komunalininkas dalininko kapitalui didinti (paskolai grąžinti)</t>
  </si>
  <si>
    <t>Subsidijos gamintojams už šiluminę energiją</t>
  </si>
  <si>
    <t>Kelių žiemos priežiūra</t>
  </si>
  <si>
    <t>Projektų administravimas</t>
  </si>
  <si>
    <t>Įvykdytų projektų priežiūrai</t>
  </si>
  <si>
    <t>Seniūnijų gatvių apšvietimo atnaujinimas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</si>
  <si>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</si>
  <si>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</si>
  <si>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</si>
  <si>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</si>
  <si>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</si>
  <si>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</si>
  <si>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</si>
  <si>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Pavojingų, didžiagabaritinių ir asbesto turinčių atliekų surinkimo ir sutvarkymo programa</t>
  </si>
  <si>
    <t>Teritorijų planavimas ir detalieji planai</t>
  </si>
  <si>
    <t>Aplinkos apsaugos rėmimo specialioji programa</t>
  </si>
  <si>
    <t>Finansų skyrius iš viso</t>
  </si>
  <si>
    <t>Paskolų aptarnavimas</t>
  </si>
  <si>
    <t>Žemės ūkio skyrius iš viso</t>
  </si>
  <si>
    <t>Žemės gerinimas</t>
  </si>
  <si>
    <t>Žemės ūkio plėtros programa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</si>
  <si>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</si>
  <si>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</si>
  <si>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</si>
  <si>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</si>
  <si>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</si>
  <si>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</si>
  <si>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</si>
  <si>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</si>
  <si>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</si>
  <si>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</si>
  <si>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</si>
  <si>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</si>
  <si>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</si>
  <si>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 xml:space="preserve">              projektui ,,Lietuvos kultūros sostinė"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</si>
  <si>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</si>
  <si>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</si>
  <si>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</si>
  <si>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</si>
  <si>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Baltijos galiūnų čempionatui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</si>
  <si>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</si>
  <si>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</si>
  <si>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</si>
  <si>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</si>
  <si>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</si>
  <si>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</si>
  <si>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</si>
  <si>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</si>
  <si>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</si>
  <si>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</si>
  <si>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</si>
  <si>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</si>
  <si>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</si>
  <si>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</si>
  <si>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</si>
  <si>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</si>
  <si>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</si>
  <si>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</si>
  <si>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</si>
  <si>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</si>
  <si>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</si>
  <si>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</si>
  <si>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</si>
  <si>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</si>
  <si>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</si>
  <si>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</si>
  <si>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>VF*</t>
    </r>
    <r>
      <rPr>
        <sz val="10"/>
        <rFont val="Arial"/>
        <family val="0"/>
      </rPr>
      <t xml:space="preserve"> - valstybės funkcija</t>
    </r>
  </si>
  <si>
    <r>
      <t xml:space="preserve">MK* - </t>
    </r>
    <r>
      <rPr>
        <sz val="10"/>
        <rFont val="Arial"/>
        <family val="2"/>
      </rPr>
      <t>moksleivio krepšelis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</si>
  <si>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</si>
  <si>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</si>
  <si>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</si>
  <si>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</si>
  <si>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</si>
  <si>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</si>
  <si>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</si>
  <si>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</si>
  <si>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</si>
  <si>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</si>
  <si>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</si>
  <si>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</si>
  <si>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</si>
  <si>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</si>
  <si>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</si>
  <si>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</si>
  <si>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</si>
  <si>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</si>
  <si>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</si>
  <si>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</si>
  <si>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</si>
  <si>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</si>
  <si>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</si>
  <si>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</si>
  <si>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</si>
  <si>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</si>
  <si>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</si>
  <si>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</si>
  <si>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</si>
  <si>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</si>
  <si>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</si>
  <si>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</si>
  <si>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</si>
  <si>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</si>
  <si>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</si>
  <si>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</si>
  <si>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</si>
  <si>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</si>
  <si>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</si>
  <si>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</si>
  <si>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</si>
  <si>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</si>
  <si>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</si>
  <si>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</si>
  <si>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</si>
  <si>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</si>
  <si>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</si>
  <si>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</si>
  <si>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</si>
  <si>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</si>
  <si>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</si>
  <si>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</si>
  <si>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</si>
  <si>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</si>
  <si>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</si>
  <si>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</si>
  <si>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</si>
  <si>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</si>
  <si>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</si>
  <si>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</si>
  <si>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</si>
  <si>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</si>
  <si>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</si>
  <si>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</si>
  <si>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</si>
  <si>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</si>
  <si>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</si>
  <si>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</si>
  <si>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</si>
  <si>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</si>
  <si>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</si>
  <si>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</si>
  <si>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</si>
  <si>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</si>
  <si>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</si>
  <si>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</si>
  <si>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</si>
  <si>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</si>
  <si>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</si>
  <si>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</si>
  <si>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</si>
  <si>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</si>
  <si>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</si>
  <si>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</si>
  <si>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</si>
  <si>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</si>
  <si>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</si>
  <si>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</si>
  <si>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</si>
  <si>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</si>
  <si>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</si>
  <si>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</si>
  <si>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</si>
  <si>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</si>
  <si>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</si>
  <si>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</si>
  <si>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</si>
  <si>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</si>
  <si>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</si>
  <si>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</si>
  <si>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      (LĖŠŲ LIKUTIS 2016 M. GRUODŽIO 31 D.)</t>
  </si>
  <si>
    <t>Eil.   Nr.</t>
  </si>
  <si>
    <t xml:space="preserve">     iš jų:  nekilnojamo turto nuomos specialioji programa</t>
  </si>
  <si>
    <t>Statybos ir infrastruktūros skyrius</t>
  </si>
  <si>
    <t>Viešoji biblioteka</t>
  </si>
  <si>
    <t>Pandėlio pradinė mokykla</t>
  </si>
  <si>
    <t>51.</t>
  </si>
  <si>
    <t>52.</t>
  </si>
  <si>
    <t>53.</t>
  </si>
  <si>
    <t>54.</t>
  </si>
  <si>
    <t>55.</t>
  </si>
  <si>
    <t>56.</t>
  </si>
  <si>
    <t xml:space="preserve">                              Iš viso:</t>
  </si>
  <si>
    <t>57.</t>
  </si>
  <si>
    <t>58.</t>
  </si>
  <si>
    <t>59.</t>
  </si>
  <si>
    <t xml:space="preserve">Reikalinga 2017 metams </t>
  </si>
  <si>
    <t>ES fondų/VIP ar kitų programų lėšos</t>
  </si>
  <si>
    <t>Valstybės kapitalo investicijų programa</t>
  </si>
  <si>
    <t>289,62</t>
  </si>
  <si>
    <t>K. Gačionienė</t>
  </si>
  <si>
    <t>VIP-472; ES fondų lešos- 97 ;</t>
  </si>
  <si>
    <t>D. Pučinskienė</t>
  </si>
  <si>
    <t xml:space="preserve">Planuojama projekto pradžia  2017-10 </t>
  </si>
  <si>
    <t>Rokiškio rajono teritorijų kraštovaizdžio formavimas ir ekologinės būklės gerinimas</t>
  </si>
  <si>
    <t>A. Vingelienė</t>
  </si>
  <si>
    <t>26.2</t>
  </si>
  <si>
    <t xml:space="preserve">Planuojama projekto pradžia  2017-02 </t>
  </si>
  <si>
    <t>A. Blažys</t>
  </si>
  <si>
    <t>Planuojama projekto pradžia 2017-08</t>
  </si>
  <si>
    <t>Rokiškio rajono Čedasų, Salų miestelių ir Lailūnų kaimo  vietovių paviršinio vandens sutvarkymas ir su juo susijusios infrastruktūros rekonstravimas</t>
  </si>
  <si>
    <t>A Gudonis</t>
  </si>
  <si>
    <t>Planuojama projekto pradžia 2017-05</t>
  </si>
  <si>
    <t>Rokiškio rajono Panemunėlio gelž. stoties  gyvenvietės  paviršinio vandens sutvarkymas ir su juo susijusios infrastruktūros rekonstravimas</t>
  </si>
  <si>
    <t>A. Gudonis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</si>
  <si>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</si>
  <si>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</si>
  <si>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</si>
  <si>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Planuojama projekto pradžia 2017-02</t>
  </si>
  <si>
    <t>"Naujos verslumo ugdymo metodikos sukūrimas per Europos regionų strateginę partnerystę"</t>
  </si>
  <si>
    <t>R.Gagiškienė Z.Žiukelienė</t>
  </si>
  <si>
    <t>Nuo 2015-10-01 iki 2017-09-30  kartu su partneriais - Bulgarijos Provadijos savivaldybe vykdomas švietimo srities projektas, kuriam prašomas avansinis prisidėjimas bus sugrąžintas įgyvendinus projekto veiklas, t.y. po 2017-09-30</t>
  </si>
  <si>
    <t>IŠ viso planuojamiems projektams 2017 m.</t>
  </si>
  <si>
    <t>Konkursiniai projektai, kuriems negavus finansavimo , nereiks ir SB lėšų</t>
  </si>
  <si>
    <t>L. Valotkienė</t>
  </si>
  <si>
    <t>-</t>
  </si>
  <si>
    <t>„Darnaus turizmo paslaugų plėtra, priimant bendrus sprendimus“  (projekto vykdytojas - Rokiškio turizmo ir tradicinių amatų informacijos ir koordinavimo centras)</t>
  </si>
  <si>
    <t>Versli biblioteka/Verslo rėmimo sistemų sukūrimas ir prienamumas (projekto vykdytojas - Rokiškio rajono savivaldybės Juozo Keliuočio viešoji biblioteka).</t>
  </si>
  <si>
    <t>A. Matiukienė</t>
  </si>
  <si>
    <t xml:space="preserve">Rokiškio rajono Rokiškio kaimiškosios ir Juodupės seniūnijų Vyžuonos upės baseino dalies griovių ir juose esančių statinių rekonstravimas  </t>
  </si>
  <si>
    <t>D. Žėglaitienė</t>
  </si>
  <si>
    <t>Neaišku, ar 2017 m. reikės SB lėšų, nes projektas konkursinis, pateiktas Lietuvos kaimo plėtros 2014–2020 metų programos finansavimui gauti. Planuojama projekto pradžia - 2017-09</t>
  </si>
  <si>
    <t>IŠ viso konkursiniams projektams 2017 m.</t>
  </si>
  <si>
    <t xml:space="preserve">  kaimo kultūros namų materialinės bazės stiprinimui</t>
  </si>
  <si>
    <t>Kaimo kultūros namų materialinės bazės stiprinimui</t>
  </si>
  <si>
    <t>Eil.    Nr.</t>
  </si>
  <si>
    <t>įmokos už  išlaikymą švietimo,   socialinės apsaugos įstaigose</t>
  </si>
  <si>
    <t xml:space="preserve">                                                     Rokiškio rajono savivaldybės tarybos  </t>
  </si>
  <si>
    <t xml:space="preserve">                                                                                                  2017 m. vasario 24  d. sprendimo Nr. TS-</t>
  </si>
  <si>
    <t>pedagoginių darbuotojų darbo apmokėjimo sąlygoms gerinti</t>
  </si>
  <si>
    <t>Valstybės biudžeto lėšos pedagoginių darbuotojų darbo apmokėjimo sąlygoms gerinti</t>
  </si>
  <si>
    <t xml:space="preserve"> 1.3.4.1.1.1.e</t>
  </si>
  <si>
    <t>1.3.4.1.1.1.f</t>
  </si>
  <si>
    <t>Speciali tikslinė dotacija iš viso (15+16+17+18+19+20)</t>
  </si>
  <si>
    <t>KITOS PAJAMOS (24+28+29+30)</t>
  </si>
  <si>
    <t>Turto pajamos(25+26+27)</t>
  </si>
  <si>
    <t>VISI MOKESČIAI, PAJAMOS IR DOTACIJOS(1+13+23)</t>
  </si>
  <si>
    <t>t.sk. darbo užmokestis</t>
  </si>
  <si>
    <t>Parama šeimynoms, globėjams ir daugiavaikėms šeimoms</t>
  </si>
  <si>
    <t xml:space="preserve">   parama šeimynoms, globėjams ir daugiavaikėms šeimoms</t>
  </si>
  <si>
    <t>“Rokiškio J. Tumo-Vaižganto gimnazijos ir gimnazijos bendrabučio pastatų Rokiškyje, M. Riomerio g. 1 ir J. Basanavičiaus g. 8 rekonstravimas (bendrabučio priestato statyba</t>
  </si>
  <si>
    <r>
      <t xml:space="preserve"> Valstybės kapitalo investicijų programa </t>
    </r>
    <r>
      <rPr>
        <sz val="10"/>
        <color indexed="10"/>
        <rFont val="Times New Roman"/>
        <family val="1"/>
      </rPr>
      <t>(sumos dar keisis)</t>
    </r>
  </si>
  <si>
    <r>
      <t xml:space="preserve">Valstybės kapitalo investicijų programa </t>
    </r>
    <r>
      <rPr>
        <sz val="10"/>
        <color indexed="10"/>
        <rFont val="Times New Roman"/>
        <family val="1"/>
      </rPr>
      <t>(sumos dar keisis)</t>
    </r>
  </si>
  <si>
    <t xml:space="preserve">Rokiškio rajono savivaldybės Juozo Keliuočio viešosios bibliotekos pastato Rokiškyje, Nepriklausomybės a. 16 ir kiemo rekonstravimas bei modernizavimas ir priestato statyba </t>
  </si>
  <si>
    <t>Rokiškio miesto Kauno ir Perkūno gatvių dalių rekonstravimas</t>
  </si>
  <si>
    <t>Projektas atrinktas  INTERREG V-A Latvijos-Lietuvos 2014-2020 m. programos finansavimui gauti. Reikės 2017 m. apyvartinių lėšų projekto įgyvendinimui. Projekto pradžia - 2017-04; Avansinės lėšos bus kompensuotos po I-o ataskaitinio laikotarpio</t>
  </si>
  <si>
    <t>2017  METAIS SAVIVALDYBĖS PLANUOJAMŲ VYKDYTI PROJEKTŲ, FINANSUOJAMŲ IŠ ES IR KITŲ FONDŲ PARAMOS IR KURIEMS REIKALINGAS SAVIVALDYBĖS PRISIDĖJIMAS, SĄRAŠAS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</si>
</sst>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theme="3" tint="-0.24997000396251678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8" fillId="0" borderId="27" xfId="0" applyFont="1" applyFill="1" applyBorder="1" applyAlignment="1">
      <alignment/>
    </xf>
    <xf numFmtId="0" fontId="13" fillId="0" borderId="28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48" applyFont="1" applyBorder="1">
      <alignment/>
      <protection/>
    </xf>
    <xf numFmtId="2" fontId="0" fillId="0" borderId="0" xfId="0" applyNumberForma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6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29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178" fontId="3" fillId="0" borderId="31" xfId="0" applyNumberFormat="1" applyFont="1" applyFill="1" applyBorder="1" applyAlignment="1">
      <alignment horizontal="center"/>
    </xf>
    <xf numFmtId="178" fontId="3" fillId="0" borderId="32" xfId="0" applyNumberFormat="1" applyFont="1" applyFill="1" applyBorder="1" applyAlignment="1">
      <alignment horizontal="center"/>
    </xf>
    <xf numFmtId="178" fontId="3" fillId="0" borderId="16" xfId="0" applyNumberFormat="1" applyFont="1" applyBorder="1" applyAlignment="1">
      <alignment wrapText="1"/>
    </xf>
    <xf numFmtId="178" fontId="3" fillId="0" borderId="16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78" fontId="18" fillId="0" borderId="10" xfId="0" applyNumberFormat="1" applyFont="1" applyFill="1" applyBorder="1" applyAlignment="1">
      <alignment horizontal="center"/>
    </xf>
    <xf numFmtId="178" fontId="18" fillId="0" borderId="34" xfId="0" applyNumberFormat="1" applyFont="1" applyBorder="1" applyAlignment="1">
      <alignment horizontal="right"/>
    </xf>
    <xf numFmtId="178" fontId="18" fillId="0" borderId="11" xfId="0" applyNumberFormat="1" applyFont="1" applyBorder="1" applyAlignment="1">
      <alignment horizontal="right"/>
    </xf>
    <xf numFmtId="0" fontId="12" fillId="0" borderId="14" xfId="48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36" xfId="0" applyFont="1" applyBorder="1" applyAlignment="1">
      <alignment/>
    </xf>
    <xf numFmtId="0" fontId="3" fillId="0" borderId="30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/>
    </xf>
    <xf numFmtId="178" fontId="8" fillId="0" borderId="21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178" fontId="13" fillId="0" borderId="24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1" xfId="0" applyNumberFormat="1" applyFill="1" applyBorder="1" applyAlignment="1">
      <alignment/>
    </xf>
    <xf numFmtId="0" fontId="10" fillId="0" borderId="14" xfId="48" applyFont="1" applyBorder="1" applyAlignment="1">
      <alignment wrapText="1"/>
      <protection/>
    </xf>
    <xf numFmtId="0" fontId="20" fillId="0" borderId="14" xfId="48" applyFont="1" applyFill="1" applyBorder="1">
      <alignment/>
      <protection/>
    </xf>
    <xf numFmtId="0" fontId="20" fillId="0" borderId="14" xfId="48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43" xfId="0" applyFont="1" applyFill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178" fontId="3" fillId="0" borderId="33" xfId="0" applyNumberFormat="1" applyFont="1" applyFill="1" applyBorder="1" applyAlignment="1">
      <alignment/>
    </xf>
    <xf numFmtId="178" fontId="3" fillId="0" borderId="4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178" fontId="8" fillId="0" borderId="51" xfId="0" applyNumberFormat="1" applyFont="1" applyFill="1" applyBorder="1" applyAlignment="1">
      <alignment/>
    </xf>
    <xf numFmtId="0" fontId="8" fillId="34" borderId="52" xfId="0" applyFont="1" applyFill="1" applyBorder="1" applyAlignment="1">
      <alignment/>
    </xf>
    <xf numFmtId="0" fontId="0" fillId="0" borderId="16" xfId="0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22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21" xfId="0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34" borderId="53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9" xfId="0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0" borderId="40" xfId="0" applyNumberFormat="1" applyFont="1" applyFill="1" applyBorder="1" applyAlignment="1">
      <alignment/>
    </xf>
    <xf numFmtId="178" fontId="11" fillId="0" borderId="22" xfId="0" applyNumberFormat="1" applyFont="1" applyFill="1" applyBorder="1" applyAlignment="1">
      <alignment/>
    </xf>
    <xf numFmtId="178" fontId="11" fillId="34" borderId="21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Fill="1" applyBorder="1" applyAlignment="1">
      <alignment/>
    </xf>
    <xf numFmtId="178" fontId="11" fillId="0" borderId="51" xfId="0" applyNumberFormat="1" applyFont="1" applyFill="1" applyBorder="1" applyAlignment="1">
      <alignment/>
    </xf>
    <xf numFmtId="178" fontId="11" fillId="34" borderId="52" xfId="0" applyNumberFormat="1" applyFont="1" applyFill="1" applyBorder="1" applyAlignment="1">
      <alignment/>
    </xf>
    <xf numFmtId="178" fontId="8" fillId="34" borderId="52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0" borderId="53" xfId="0" applyNumberFormat="1" applyFont="1" applyFill="1" applyBorder="1" applyAlignment="1">
      <alignment/>
    </xf>
    <xf numFmtId="178" fontId="13" fillId="0" borderId="54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5" xfId="48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right" vertical="center" wrapText="1"/>
    </xf>
    <xf numFmtId="0" fontId="8" fillId="0" borderId="31" xfId="48" applyFont="1" applyBorder="1" applyAlignment="1">
      <alignment horizontal="left" vertical="center" wrapText="1"/>
      <protection/>
    </xf>
    <xf numFmtId="178" fontId="8" fillId="0" borderId="39" xfId="0" applyNumberFormat="1" applyFont="1" applyBorder="1" applyAlignment="1">
      <alignment/>
    </xf>
    <xf numFmtId="0" fontId="0" fillId="0" borderId="30" xfId="48" applyFont="1" applyBorder="1" applyAlignment="1">
      <alignment horizontal="center" vertical="center" wrapText="1"/>
      <protection/>
    </xf>
    <xf numFmtId="178" fontId="8" fillId="0" borderId="15" xfId="48" applyNumberFormat="1" applyFont="1" applyBorder="1" applyAlignment="1">
      <alignment horizontal="right" vertical="center" wrapText="1"/>
      <protection/>
    </xf>
    <xf numFmtId="178" fontId="8" fillId="0" borderId="29" xfId="48" applyNumberFormat="1" applyFont="1" applyBorder="1" applyAlignment="1">
      <alignment horizontal="right" vertical="center" wrapText="1"/>
      <protection/>
    </xf>
    <xf numFmtId="178" fontId="8" fillId="0" borderId="40" xfId="48" applyNumberFormat="1" applyFont="1" applyBorder="1" applyAlignment="1">
      <alignment horizontal="center" vertical="center" wrapText="1"/>
      <protection/>
    </xf>
    <xf numFmtId="0" fontId="8" fillId="0" borderId="39" xfId="48" applyFont="1" applyBorder="1" applyAlignment="1">
      <alignment horizontal="center" vertical="center" wrapText="1"/>
      <protection/>
    </xf>
    <xf numFmtId="0" fontId="0" fillId="0" borderId="29" xfId="48" applyFont="1" applyBorder="1" applyAlignment="1">
      <alignment horizontal="center" vertical="center" wrapText="1"/>
      <protection/>
    </xf>
    <xf numFmtId="0" fontId="8" fillId="0" borderId="50" xfId="48" applyFont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center" vertical="center" wrapText="1"/>
      <protection/>
    </xf>
    <xf numFmtId="0" fontId="0" fillId="0" borderId="52" xfId="48" applyFont="1" applyBorder="1" applyAlignment="1">
      <alignment horizontal="center" vertical="center" wrapText="1"/>
      <protection/>
    </xf>
    <xf numFmtId="0" fontId="8" fillId="0" borderId="15" xfId="48" applyFont="1" applyBorder="1" applyAlignment="1">
      <alignment horizontal="center" vertical="center" wrapText="1"/>
      <protection/>
    </xf>
    <xf numFmtId="0" fontId="0" fillId="0" borderId="40" xfId="48" applyFont="1" applyBorder="1" applyAlignment="1">
      <alignment horizontal="center" vertical="center" wrapText="1"/>
      <protection/>
    </xf>
    <xf numFmtId="0" fontId="0" fillId="0" borderId="57" xfId="0" applyFont="1" applyBorder="1" applyAlignment="1">
      <alignment horizontal="right" vertical="center" wrapText="1"/>
    </xf>
    <xf numFmtId="0" fontId="0" fillId="0" borderId="32" xfId="48" applyFont="1" applyBorder="1" applyAlignment="1">
      <alignment horizontal="left" vertical="center" wrapText="1"/>
      <protection/>
    </xf>
    <xf numFmtId="178" fontId="0" fillId="0" borderId="26" xfId="0" applyNumberFormat="1" applyFont="1" applyBorder="1" applyAlignment="1">
      <alignment/>
    </xf>
    <xf numFmtId="0" fontId="0" fillId="0" borderId="22" xfId="48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4" xfId="48" applyNumberFormat="1" applyFont="1" applyBorder="1" applyAlignment="1">
      <alignment horizontal="right" vertical="center" wrapText="1"/>
      <protection/>
    </xf>
    <xf numFmtId="0" fontId="0" fillId="0" borderId="21" xfId="48" applyFont="1" applyBorder="1" applyAlignment="1">
      <alignment horizontal="center" vertical="center" wrapText="1"/>
      <protection/>
    </xf>
    <xf numFmtId="0" fontId="8" fillId="0" borderId="26" xfId="48" applyFont="1" applyBorder="1" applyAlignment="1">
      <alignment horizontal="center" vertical="center" wrapText="1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8" fillId="0" borderId="16" xfId="48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48" applyFont="1" applyBorder="1" applyAlignment="1">
      <alignment horizontal="right" vertical="center" wrapText="1"/>
      <protection/>
    </xf>
    <xf numFmtId="0" fontId="0" fillId="0" borderId="57" xfId="0" applyFont="1" applyBorder="1" applyAlignment="1">
      <alignment/>
    </xf>
    <xf numFmtId="0" fontId="8" fillId="0" borderId="32" xfId="0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2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57" xfId="0" applyFont="1" applyBorder="1" applyAlignment="1">
      <alignment vertical="top"/>
    </xf>
    <xf numFmtId="0" fontId="8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 vertical="top" wrapText="1"/>
    </xf>
    <xf numFmtId="178" fontId="0" fillId="0" borderId="14" xfId="0" applyNumberFormat="1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Font="1" applyBorder="1" applyAlignment="1">
      <alignment wrapText="1"/>
    </xf>
    <xf numFmtId="178" fontId="0" fillId="0" borderId="22" xfId="0" applyNumberFormat="1" applyFont="1" applyBorder="1" applyAlignment="1">
      <alignment/>
    </xf>
    <xf numFmtId="0" fontId="8" fillId="0" borderId="32" xfId="0" applyFont="1" applyBorder="1" applyAlignment="1">
      <alignment/>
    </xf>
    <xf numFmtId="178" fontId="8" fillId="0" borderId="14" xfId="0" applyNumberFormat="1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8" fillId="0" borderId="32" xfId="0" applyFont="1" applyBorder="1" applyAlignment="1">
      <alignment wrapText="1"/>
    </xf>
    <xf numFmtId="0" fontId="0" fillId="35" borderId="32" xfId="0" applyFont="1" applyFill="1" applyBorder="1" applyAlignment="1">
      <alignment wrapText="1"/>
    </xf>
    <xf numFmtId="178" fontId="8" fillId="0" borderId="57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0" fontId="11" fillId="0" borderId="32" xfId="0" applyFont="1" applyFill="1" applyBorder="1" applyAlignment="1">
      <alignment wrapText="1"/>
    </xf>
    <xf numFmtId="178" fontId="0" fillId="35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 vertical="top" wrapText="1"/>
    </xf>
    <xf numFmtId="178" fontId="0" fillId="0" borderId="59" xfId="0" applyNumberFormat="1" applyFont="1" applyBorder="1" applyAlignment="1">
      <alignment/>
    </xf>
    <xf numFmtId="178" fontId="0" fillId="36" borderId="14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11" fillId="35" borderId="32" xfId="0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35" borderId="44" xfId="0" applyFont="1" applyFill="1" applyBorder="1" applyAlignment="1">
      <alignment/>
    </xf>
    <xf numFmtId="0" fontId="8" fillId="0" borderId="44" xfId="0" applyFont="1" applyBorder="1" applyAlignment="1">
      <alignment/>
    </xf>
    <xf numFmtId="0" fontId="11" fillId="35" borderId="60" xfId="0" applyFont="1" applyFill="1" applyBorder="1" applyAlignment="1">
      <alignment/>
    </xf>
    <xf numFmtId="0" fontId="0" fillId="0" borderId="57" xfId="0" applyFont="1" applyBorder="1" applyAlignment="1">
      <alignment vertical="top" wrapText="1"/>
    </xf>
    <xf numFmtId="0" fontId="11" fillId="35" borderId="60" xfId="0" applyFont="1" applyFill="1" applyBorder="1" applyAlignment="1">
      <alignment vertical="top" wrapText="1"/>
    </xf>
    <xf numFmtId="178" fontId="0" fillId="0" borderId="26" xfId="0" applyNumberFormat="1" applyFont="1" applyBorder="1" applyAlignment="1">
      <alignment vertical="top" wrapText="1"/>
    </xf>
    <xf numFmtId="178" fontId="0" fillId="0" borderId="14" xfId="0" applyNumberFormat="1" applyFont="1" applyBorder="1" applyAlignment="1">
      <alignment vertical="top" wrapText="1"/>
    </xf>
    <xf numFmtId="178" fontId="8" fillId="0" borderId="14" xfId="0" applyNumberFormat="1" applyFont="1" applyBorder="1" applyAlignment="1">
      <alignment vertical="top" wrapText="1"/>
    </xf>
    <xf numFmtId="178" fontId="8" fillId="0" borderId="22" xfId="0" applyNumberFormat="1" applyFont="1" applyBorder="1" applyAlignment="1">
      <alignment vertical="top" wrapText="1"/>
    </xf>
    <xf numFmtId="178" fontId="0" fillId="0" borderId="16" xfId="0" applyNumberFormat="1" applyFont="1" applyBorder="1" applyAlignment="1">
      <alignment vertical="top" wrapText="1"/>
    </xf>
    <xf numFmtId="178" fontId="8" fillId="0" borderId="21" xfId="0" applyNumberFormat="1" applyFont="1" applyBorder="1" applyAlignment="1">
      <alignment vertical="top" wrapText="1"/>
    </xf>
    <xf numFmtId="178" fontId="0" fillId="0" borderId="22" xfId="0" applyNumberFormat="1" applyFont="1" applyBorder="1" applyAlignment="1">
      <alignment vertical="top" wrapText="1"/>
    </xf>
    <xf numFmtId="178" fontId="8" fillId="0" borderId="16" xfId="0" applyNumberFormat="1" applyFont="1" applyBorder="1" applyAlignment="1">
      <alignment vertical="top" wrapText="1"/>
    </xf>
    <xf numFmtId="178" fontId="0" fillId="0" borderId="21" xfId="0" applyNumberFormat="1" applyFont="1" applyBorder="1" applyAlignment="1">
      <alignment vertical="top" wrapText="1"/>
    </xf>
    <xf numFmtId="0" fontId="8" fillId="0" borderId="60" xfId="0" applyFont="1" applyBorder="1" applyAlignment="1">
      <alignment wrapText="1"/>
    </xf>
    <xf numFmtId="0" fontId="11" fillId="35" borderId="32" xfId="0" applyFont="1" applyFill="1" applyBorder="1" applyAlignment="1">
      <alignment wrapText="1"/>
    </xf>
    <xf numFmtId="0" fontId="8" fillId="0" borderId="44" xfId="0" applyFont="1" applyBorder="1" applyAlignment="1">
      <alignment/>
    </xf>
    <xf numFmtId="0" fontId="0" fillId="0" borderId="61" xfId="0" applyFont="1" applyBorder="1" applyAlignment="1">
      <alignment vertical="top"/>
    </xf>
    <xf numFmtId="178" fontId="8" fillId="0" borderId="27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53" xfId="0" applyNumberFormat="1" applyFont="1" applyBorder="1" applyAlignment="1">
      <alignment/>
    </xf>
    <xf numFmtId="0" fontId="0" fillId="0" borderId="62" xfId="0" applyFont="1" applyBorder="1" applyAlignment="1">
      <alignment vertical="top"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66" xfId="0" applyNumberFormat="1" applyFont="1" applyBorder="1" applyAlignment="1">
      <alignment/>
    </xf>
    <xf numFmtId="178" fontId="8" fillId="0" borderId="67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0" fontId="8" fillId="0" borderId="32" xfId="0" applyFont="1" applyBorder="1" applyAlignment="1">
      <alignment horizontal="left"/>
    </xf>
    <xf numFmtId="0" fontId="17" fillId="0" borderId="32" xfId="0" applyFont="1" applyBorder="1" applyAlignment="1">
      <alignment/>
    </xf>
    <xf numFmtId="178" fontId="17" fillId="0" borderId="2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43" xfId="0" applyFont="1" applyFill="1" applyBorder="1" applyAlignment="1">
      <alignment/>
    </xf>
    <xf numFmtId="0" fontId="8" fillId="35" borderId="32" xfId="0" applyFont="1" applyFill="1" applyBorder="1" applyAlignment="1">
      <alignment/>
    </xf>
    <xf numFmtId="0" fontId="8" fillId="0" borderId="68" xfId="0" applyFont="1" applyBorder="1" applyAlignment="1">
      <alignment/>
    </xf>
    <xf numFmtId="178" fontId="8" fillId="0" borderId="69" xfId="0" applyNumberFormat="1" applyFont="1" applyBorder="1" applyAlignment="1">
      <alignment/>
    </xf>
    <xf numFmtId="178" fontId="8" fillId="0" borderId="70" xfId="0" applyNumberFormat="1" applyFont="1" applyBorder="1" applyAlignment="1">
      <alignment/>
    </xf>
    <xf numFmtId="178" fontId="8" fillId="0" borderId="70" xfId="0" applyNumberFormat="1" applyFont="1" applyBorder="1" applyAlignment="1">
      <alignment/>
    </xf>
    <xf numFmtId="178" fontId="8" fillId="0" borderId="71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0" fillId="0" borderId="72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78" fontId="8" fillId="0" borderId="70" xfId="0" applyNumberFormat="1" applyFont="1" applyBorder="1" applyAlignment="1">
      <alignment horizontal="right" wrapText="1"/>
    </xf>
    <xf numFmtId="178" fontId="8" fillId="0" borderId="72" xfId="0" applyNumberFormat="1" applyFont="1" applyBorder="1" applyAlignment="1">
      <alignment/>
    </xf>
    <xf numFmtId="0" fontId="0" fillId="0" borderId="46" xfId="0" applyFont="1" applyBorder="1" applyAlignment="1">
      <alignment vertical="top"/>
    </xf>
    <xf numFmtId="0" fontId="8" fillId="0" borderId="45" xfId="0" applyFont="1" applyBorder="1" applyAlignment="1">
      <alignment horizontal="right"/>
    </xf>
    <xf numFmtId="178" fontId="8" fillId="0" borderId="66" xfId="0" applyNumberFormat="1" applyFont="1" applyFill="1" applyBorder="1" applyAlignment="1">
      <alignment/>
    </xf>
    <xf numFmtId="178" fontId="8" fillId="0" borderId="64" xfId="0" applyNumberFormat="1" applyFont="1" applyFill="1" applyBorder="1" applyAlignment="1">
      <alignment/>
    </xf>
    <xf numFmtId="178" fontId="8" fillId="0" borderId="67" xfId="0" applyNumberFormat="1" applyFont="1" applyFill="1" applyBorder="1" applyAlignment="1">
      <alignment/>
    </xf>
    <xf numFmtId="178" fontId="8" fillId="0" borderId="63" xfId="0" applyNumberFormat="1" applyFont="1" applyFill="1" applyBorder="1" applyAlignment="1">
      <alignment/>
    </xf>
    <xf numFmtId="178" fontId="8" fillId="0" borderId="65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4" borderId="28" xfId="0" applyNumberFormat="1" applyFont="1" applyFill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34" borderId="35" xfId="0" applyNumberFormat="1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178" fontId="8" fillId="34" borderId="54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73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34" borderId="73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74" xfId="48" applyFont="1" applyBorder="1" applyAlignment="1">
      <alignment horizontal="center" vertical="center" wrapText="1"/>
      <protection/>
    </xf>
    <xf numFmtId="0" fontId="10" fillId="0" borderId="74" xfId="48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34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60" xfId="0" applyBorder="1" applyAlignment="1">
      <alignment vertical="top"/>
    </xf>
    <xf numFmtId="0" fontId="8" fillId="0" borderId="60" xfId="48" applyFont="1" applyBorder="1" applyAlignment="1">
      <alignment horizontal="left" vertical="center" wrapText="1"/>
      <protection/>
    </xf>
    <xf numFmtId="178" fontId="8" fillId="0" borderId="25" xfId="0" applyNumberFormat="1" applyFont="1" applyBorder="1" applyAlignment="1">
      <alignment/>
    </xf>
    <xf numFmtId="0" fontId="0" fillId="0" borderId="51" xfId="48" applyFont="1" applyBorder="1" applyAlignment="1">
      <alignment horizontal="center" vertical="center" wrapText="1"/>
      <protection/>
    </xf>
    <xf numFmtId="178" fontId="8" fillId="0" borderId="50" xfId="48" applyNumberFormat="1" applyFont="1" applyBorder="1" applyAlignment="1">
      <alignment horizontal="right" vertical="center" wrapText="1"/>
      <protection/>
    </xf>
    <xf numFmtId="178" fontId="8" fillId="0" borderId="20" xfId="48" applyNumberFormat="1" applyFont="1" applyBorder="1" applyAlignment="1">
      <alignment horizontal="right" vertical="center" wrapText="1"/>
      <protection/>
    </xf>
    <xf numFmtId="178" fontId="8" fillId="0" borderId="52" xfId="48" applyNumberFormat="1" applyFont="1" applyBorder="1" applyAlignment="1">
      <alignment horizontal="right" vertical="center" wrapText="1"/>
      <protection/>
    </xf>
    <xf numFmtId="178" fontId="8" fillId="0" borderId="20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75" xfId="0" applyNumberFormat="1" applyFont="1" applyBorder="1" applyAlignment="1">
      <alignment/>
    </xf>
    <xf numFmtId="178" fontId="8" fillId="0" borderId="76" xfId="0" applyNumberFormat="1" applyFont="1" applyBorder="1" applyAlignment="1">
      <alignment/>
    </xf>
    <xf numFmtId="178" fontId="8" fillId="0" borderId="77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0" fillId="0" borderId="32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8" fillId="0" borderId="59" xfId="0" applyNumberFormat="1" applyFont="1" applyBorder="1" applyAlignment="1">
      <alignment/>
    </xf>
    <xf numFmtId="178" fontId="0" fillId="0" borderId="58" xfId="0" applyNumberFormat="1" applyBorder="1" applyAlignment="1">
      <alignment/>
    </xf>
    <xf numFmtId="178" fontId="13" fillId="0" borderId="16" xfId="0" applyNumberFormat="1" applyFon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59" xfId="0" applyNumberFormat="1" applyBorder="1" applyAlignment="1">
      <alignment/>
    </xf>
    <xf numFmtId="0" fontId="23" fillId="0" borderId="32" xfId="0" applyFont="1" applyBorder="1" applyAlignment="1">
      <alignment wrapText="1"/>
    </xf>
    <xf numFmtId="178" fontId="0" fillId="0" borderId="57" xfId="0" applyNumberFormat="1" applyBorder="1" applyAlignment="1">
      <alignment/>
    </xf>
    <xf numFmtId="0" fontId="11" fillId="0" borderId="3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68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78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77" xfId="0" applyNumberFormat="1" applyBorder="1" applyAlignment="1">
      <alignment/>
    </xf>
    <xf numFmtId="178" fontId="8" fillId="0" borderId="30" xfId="0" applyNumberFormat="1" applyFon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79" xfId="0" applyNumberFormat="1" applyBorder="1" applyAlignment="1">
      <alignment/>
    </xf>
    <xf numFmtId="0" fontId="23" fillId="0" borderId="32" xfId="0" applyFont="1" applyBorder="1" applyAlignment="1">
      <alignment/>
    </xf>
    <xf numFmtId="0" fontId="0" fillId="0" borderId="44" xfId="0" applyBorder="1" applyAlignment="1">
      <alignment vertical="top"/>
    </xf>
    <xf numFmtId="178" fontId="0" fillId="0" borderId="47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Font="1" applyBorder="1" applyAlignment="1">
      <alignment/>
    </xf>
    <xf numFmtId="178" fontId="8" fillId="34" borderId="34" xfId="0" applyNumberFormat="1" applyFont="1" applyFill="1" applyBorder="1" applyAlignment="1">
      <alignment/>
    </xf>
    <xf numFmtId="178" fontId="8" fillId="34" borderId="24" xfId="0" applyNumberFormat="1" applyFont="1" applyFill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8" fillId="0" borderId="43" xfId="0" applyFont="1" applyBorder="1" applyAlignment="1">
      <alignment wrapText="1"/>
    </xf>
    <xf numFmtId="178" fontId="8" fillId="0" borderId="15" xfId="0" applyNumberFormat="1" applyFont="1" applyBorder="1" applyAlignment="1">
      <alignment/>
    </xf>
    <xf numFmtId="178" fontId="0" fillId="0" borderId="76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35" borderId="76" xfId="0" applyFont="1" applyFill="1" applyBorder="1" applyAlignment="1">
      <alignment/>
    </xf>
    <xf numFmtId="0" fontId="11" fillId="35" borderId="76" xfId="0" applyFont="1" applyFill="1" applyBorder="1" applyAlignment="1">
      <alignment vertical="top" wrapText="1"/>
    </xf>
    <xf numFmtId="0" fontId="12" fillId="0" borderId="32" xfId="0" applyFon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32" xfId="0" applyBorder="1" applyAlignment="1">
      <alignment vertical="top" wrapText="1"/>
    </xf>
    <xf numFmtId="0" fontId="11" fillId="35" borderId="32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1" xfId="0" applyNumberFormat="1" applyFont="1" applyBorder="1" applyAlignment="1">
      <alignment wrapText="1"/>
    </xf>
    <xf numFmtId="178" fontId="0" fillId="0" borderId="26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2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178" fontId="0" fillId="0" borderId="57" xfId="0" applyNumberFormat="1" applyFont="1" applyBorder="1" applyAlignment="1">
      <alignment/>
    </xf>
    <xf numFmtId="0" fontId="0" fillId="35" borderId="44" xfId="0" applyFont="1" applyFill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76" xfId="0" applyBorder="1" applyAlignment="1">
      <alignment vertical="top"/>
    </xf>
    <xf numFmtId="0" fontId="8" fillId="0" borderId="31" xfId="0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0" fillId="0" borderId="57" xfId="0" applyBorder="1" applyAlignment="1">
      <alignment vertical="top"/>
    </xf>
    <xf numFmtId="0" fontId="11" fillId="0" borderId="57" xfId="0" applyFont="1" applyFill="1" applyBorder="1" applyAlignment="1">
      <alignment vertical="top" wrapText="1"/>
    </xf>
    <xf numFmtId="0" fontId="0" fillId="0" borderId="22" xfId="0" applyBorder="1" applyAlignment="1">
      <alignment vertical="top"/>
    </xf>
    <xf numFmtId="178" fontId="0" fillId="0" borderId="50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36" xfId="0" applyNumberFormat="1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80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4" xfId="48" applyFont="1" applyBorder="1" applyAlignment="1">
      <alignment wrapText="1"/>
      <protection/>
    </xf>
    <xf numFmtId="0" fontId="12" fillId="0" borderId="14" xfId="48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6" xfId="0" applyNumberFormat="1" applyFont="1" applyBorder="1" applyAlignment="1">
      <alignment/>
    </xf>
    <xf numFmtId="0" fontId="12" fillId="0" borderId="59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2" fillId="0" borderId="23" xfId="48" applyFont="1" applyBorder="1" applyAlignment="1">
      <alignment vertical="top" wrapText="1"/>
      <protection/>
    </xf>
    <xf numFmtId="2" fontId="8" fillId="0" borderId="23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2" fillId="0" borderId="24" xfId="48" applyFont="1" applyBorder="1">
      <alignment/>
      <protection/>
    </xf>
    <xf numFmtId="2" fontId="8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2" fillId="0" borderId="22" xfId="0" applyFont="1" applyFill="1" applyBorder="1" applyAlignment="1">
      <alignment wrapText="1"/>
    </xf>
    <xf numFmtId="0" fontId="62" fillId="0" borderId="14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62" fillId="0" borderId="2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6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176" fontId="19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178" fontId="3" fillId="0" borderId="15" xfId="0" applyNumberFormat="1" applyFont="1" applyBorder="1" applyAlignment="1">
      <alignment wrapText="1"/>
    </xf>
    <xf numFmtId="178" fontId="3" fillId="0" borderId="40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wrapText="1"/>
    </xf>
    <xf numFmtId="178" fontId="3" fillId="0" borderId="33" xfId="0" applyNumberFormat="1" applyFont="1" applyBorder="1" applyAlignment="1">
      <alignment wrapText="1"/>
    </xf>
    <xf numFmtId="178" fontId="3" fillId="0" borderId="23" xfId="0" applyNumberFormat="1" applyFont="1" applyBorder="1" applyAlignment="1">
      <alignment/>
    </xf>
    <xf numFmtId="178" fontId="3" fillId="0" borderId="53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 wrapText="1"/>
    </xf>
    <xf numFmtId="178" fontId="3" fillId="0" borderId="1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3" fillId="0" borderId="53" xfId="0" applyNumberFormat="1" applyFont="1" applyFill="1" applyBorder="1" applyAlignment="1">
      <alignment/>
    </xf>
    <xf numFmtId="178" fontId="18" fillId="0" borderId="28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 wrapText="1"/>
    </xf>
    <xf numFmtId="0" fontId="3" fillId="0" borderId="70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0" fontId="12" fillId="0" borderId="20" xfId="48" applyFont="1" applyBorder="1">
      <alignment/>
      <protection/>
    </xf>
    <xf numFmtId="2" fontId="8" fillId="0" borderId="20" xfId="0" applyNumberFormat="1" applyFont="1" applyBorder="1" applyAlignment="1">
      <alignment/>
    </xf>
    <xf numFmtId="2" fontId="8" fillId="0" borderId="5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26" xfId="0" applyFont="1" applyFill="1" applyBorder="1" applyAlignment="1">
      <alignment horizontal="center" wrapText="1"/>
    </xf>
    <xf numFmtId="0" fontId="63" fillId="0" borderId="0" xfId="0" applyFont="1" applyAlignment="1">
      <alignment wrapText="1"/>
    </xf>
    <xf numFmtId="0" fontId="62" fillId="0" borderId="1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64" fillId="0" borderId="14" xfId="0" applyFont="1" applyFill="1" applyBorder="1" applyAlignment="1">
      <alignment/>
    </xf>
    <xf numFmtId="176" fontId="65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46" xfId="0" applyFont="1" applyBorder="1" applyAlignment="1">
      <alignment vertical="top" wrapText="1"/>
    </xf>
    <xf numFmtId="0" fontId="0" fillId="0" borderId="43" xfId="0" applyFont="1" applyBorder="1" applyAlignment="1">
      <alignment/>
    </xf>
    <xf numFmtId="0" fontId="0" fillId="0" borderId="12" xfId="0" applyBorder="1" applyAlignment="1">
      <alignment/>
    </xf>
    <xf numFmtId="0" fontId="1" fillId="0" borderId="78" xfId="0" applyFont="1" applyBorder="1" applyAlignment="1">
      <alignment vertical="top" wrapText="1"/>
    </xf>
    <xf numFmtId="0" fontId="0" fillId="0" borderId="62" xfId="0" applyBorder="1" applyAlignment="1">
      <alignment/>
    </xf>
    <xf numFmtId="0" fontId="0" fillId="0" borderId="81" xfId="0" applyBorder="1" applyAlignment="1">
      <alignment/>
    </xf>
    <xf numFmtId="0" fontId="2" fillId="0" borderId="22" xfId="0" applyFont="1" applyBorder="1" applyAlignment="1">
      <alignment vertical="top" wrapText="1"/>
    </xf>
    <xf numFmtId="0" fontId="0" fillId="0" borderId="26" xfId="0" applyBorder="1" applyAlignment="1">
      <alignment/>
    </xf>
    <xf numFmtId="0" fontId="3" fillId="0" borderId="56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6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4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82" xfId="48" applyFont="1" applyBorder="1" applyAlignment="1">
      <alignment horizontal="center" vertical="center" wrapText="1"/>
      <protection/>
    </xf>
    <xf numFmtId="0" fontId="0" fillId="0" borderId="83" xfId="48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4" xfId="48" applyFont="1" applyBorder="1" applyAlignment="1">
      <alignment horizontal="center" vertical="center" wrapText="1"/>
      <protection/>
    </xf>
    <xf numFmtId="0" fontId="8" fillId="0" borderId="85" xfId="48" applyFont="1" applyBorder="1" applyAlignment="1">
      <alignment horizontal="center" vertical="center" wrapText="1"/>
      <protection/>
    </xf>
    <xf numFmtId="0" fontId="8" fillId="0" borderId="86" xfId="48" applyFont="1" applyBorder="1" applyAlignment="1">
      <alignment horizontal="center" vertical="center" wrapText="1"/>
      <protection/>
    </xf>
    <xf numFmtId="0" fontId="0" fillId="0" borderId="87" xfId="48" applyFont="1" applyBorder="1" applyAlignment="1">
      <alignment horizontal="center" vertical="center" wrapText="1"/>
      <protection/>
    </xf>
    <xf numFmtId="0" fontId="0" fillId="0" borderId="88" xfId="48" applyFont="1" applyBorder="1" applyAlignment="1">
      <alignment horizontal="center" vertical="center" wrapText="1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48" applyFont="1" applyBorder="1" applyAlignment="1">
      <alignment horizontal="center" vertical="center" wrapText="1"/>
      <protection/>
    </xf>
    <xf numFmtId="0" fontId="0" fillId="0" borderId="43" xfId="48" applyFont="1" applyBorder="1" applyAlignment="1">
      <alignment horizontal="center" vertical="center" wrapText="1"/>
      <protection/>
    </xf>
    <xf numFmtId="0" fontId="0" fillId="0" borderId="12" xfId="48" applyFont="1" applyBorder="1" applyAlignment="1">
      <alignment horizontal="center" vertical="center" wrapText="1"/>
      <protection/>
    </xf>
    <xf numFmtId="0" fontId="8" fillId="0" borderId="89" xfId="48" applyFont="1" applyBorder="1" applyAlignment="1">
      <alignment horizontal="center" vertical="center" wrapText="1"/>
      <protection/>
    </xf>
    <xf numFmtId="0" fontId="8" fillId="0" borderId="90" xfId="48" applyFont="1" applyBorder="1" applyAlignment="1">
      <alignment horizontal="center" vertical="center" wrapText="1"/>
      <protection/>
    </xf>
    <xf numFmtId="0" fontId="8" fillId="0" borderId="91" xfId="48" applyFont="1" applyBorder="1" applyAlignment="1">
      <alignment horizontal="center" vertical="center" wrapText="1"/>
      <protection/>
    </xf>
    <xf numFmtId="0" fontId="0" fillId="0" borderId="92" xfId="48" applyFont="1" applyBorder="1" applyAlignment="1">
      <alignment horizontal="center" vertical="center" wrapText="1"/>
      <protection/>
    </xf>
    <xf numFmtId="0" fontId="0" fillId="0" borderId="93" xfId="48" applyFont="1" applyBorder="1" applyAlignment="1">
      <alignment horizontal="center" vertical="center" wrapText="1"/>
      <protection/>
    </xf>
    <xf numFmtId="0" fontId="0" fillId="0" borderId="94" xfId="48" applyFont="1" applyBorder="1" applyAlignment="1">
      <alignment horizontal="center" vertical="center" wrapText="1"/>
      <protection/>
    </xf>
    <xf numFmtId="0" fontId="0" fillId="0" borderId="95" xfId="48" applyFont="1" applyBorder="1" applyAlignment="1">
      <alignment horizontal="center" vertical="center" wrapText="1"/>
      <protection/>
    </xf>
    <xf numFmtId="0" fontId="0" fillId="0" borderId="96" xfId="48" applyFont="1" applyBorder="1" applyAlignment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97" xfId="48" applyFont="1" applyBorder="1" applyAlignment="1">
      <alignment horizontal="center" vertical="center" wrapText="1"/>
      <protection/>
    </xf>
    <xf numFmtId="0" fontId="0" fillId="0" borderId="98" xfId="48" applyFont="1" applyBorder="1" applyAlignment="1">
      <alignment horizontal="center" vertical="center" wrapText="1"/>
      <protection/>
    </xf>
    <xf numFmtId="0" fontId="0" fillId="0" borderId="99" xfId="48" applyFont="1" applyBorder="1" applyAlignment="1">
      <alignment horizontal="center" vertical="center" wrapText="1"/>
      <protection/>
    </xf>
    <xf numFmtId="0" fontId="8" fillId="0" borderId="100" xfId="48" applyFont="1" applyBorder="1" applyAlignment="1">
      <alignment horizontal="center" vertical="center" wrapText="1"/>
      <protection/>
    </xf>
    <xf numFmtId="0" fontId="8" fillId="0" borderId="95" xfId="48" applyFont="1" applyBorder="1" applyAlignment="1">
      <alignment horizontal="center" vertical="center" wrapText="1"/>
      <protection/>
    </xf>
    <xf numFmtId="0" fontId="8" fillId="0" borderId="101" xfId="48" applyFont="1" applyBorder="1" applyAlignment="1">
      <alignment horizontal="center" vertical="center" wrapText="1"/>
      <protection/>
    </xf>
    <xf numFmtId="0" fontId="0" fillId="0" borderId="102" xfId="48" applyFont="1" applyBorder="1" applyAlignment="1">
      <alignment horizontal="center" vertical="center" wrapText="1"/>
      <protection/>
    </xf>
    <xf numFmtId="0" fontId="0" fillId="0" borderId="103" xfId="48" applyFont="1" applyBorder="1" applyAlignment="1">
      <alignment horizontal="center" vertical="center" wrapText="1"/>
      <protection/>
    </xf>
    <xf numFmtId="0" fontId="0" fillId="0" borderId="104" xfId="48" applyFont="1" applyBorder="1" applyAlignment="1">
      <alignment horizontal="center" vertical="center" wrapText="1"/>
      <protection/>
    </xf>
    <xf numFmtId="0" fontId="0" fillId="0" borderId="105" xfId="48" applyFont="1" applyBorder="1" applyAlignment="1">
      <alignment horizontal="center" vertical="center" wrapText="1"/>
      <protection/>
    </xf>
    <xf numFmtId="0" fontId="8" fillId="0" borderId="106" xfId="48" applyFont="1" applyBorder="1" applyAlignment="1">
      <alignment horizontal="center" vertical="center" wrapText="1"/>
      <protection/>
    </xf>
    <xf numFmtId="0" fontId="8" fillId="0" borderId="107" xfId="48" applyFont="1" applyBorder="1" applyAlignment="1">
      <alignment horizontal="center" vertical="center" wrapText="1"/>
      <protection/>
    </xf>
    <xf numFmtId="0" fontId="8" fillId="0" borderId="108" xfId="48" applyFont="1" applyBorder="1" applyAlignment="1">
      <alignment horizontal="center" vertical="center" wrapText="1"/>
      <protection/>
    </xf>
    <xf numFmtId="0" fontId="10" fillId="0" borderId="64" xfId="49" applyFont="1" applyBorder="1" applyAlignment="1">
      <alignment horizontal="center" vertical="top" wrapText="1"/>
      <protection/>
    </xf>
    <xf numFmtId="0" fontId="0" fillId="0" borderId="109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66" xfId="0" applyFont="1" applyBorder="1" applyAlignment="1">
      <alignment vertical="top" wrapText="1"/>
    </xf>
    <xf numFmtId="0" fontId="0" fillId="0" borderId="110" xfId="0" applyBorder="1" applyAlignment="1">
      <alignment vertical="top" wrapText="1"/>
    </xf>
    <xf numFmtId="0" fontId="0" fillId="0" borderId="111" xfId="0" applyBorder="1" applyAlignment="1">
      <alignment vertical="top" wrapText="1"/>
    </xf>
    <xf numFmtId="0" fontId="10" fillId="0" borderId="30" xfId="49" applyFont="1" applyBorder="1" applyAlignment="1">
      <alignment horizontal="center" vertical="center" wrapText="1"/>
      <protection/>
    </xf>
    <xf numFmtId="0" fontId="10" fillId="0" borderId="22" xfId="49" applyFont="1" applyBorder="1" applyAlignment="1">
      <alignment horizontal="center" vertical="center" wrapText="1"/>
      <protection/>
    </xf>
    <xf numFmtId="0" fontId="10" fillId="0" borderId="71" xfId="49" applyFont="1" applyBorder="1" applyAlignment="1">
      <alignment horizontal="center" vertical="center" wrapText="1"/>
      <protection/>
    </xf>
    <xf numFmtId="0" fontId="10" fillId="0" borderId="64" xfId="49" applyFont="1" applyBorder="1" applyAlignment="1">
      <alignment horizontal="center" vertical="center" wrapText="1"/>
      <protection/>
    </xf>
    <xf numFmtId="0" fontId="0" fillId="0" borderId="10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5" xfId="0" applyBorder="1" applyAlignment="1">
      <alignment horizontal="center" vertical="top" wrapText="1"/>
    </xf>
    <xf numFmtId="0" fontId="0" fillId="0" borderId="112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" fillId="0" borderId="66" xfId="0" applyFont="1" applyBorder="1" applyAlignment="1">
      <alignment wrapText="1"/>
    </xf>
    <xf numFmtId="0" fontId="3" fillId="0" borderId="110" xfId="0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64" xfId="0" applyFont="1" applyBorder="1" applyAlignment="1">
      <alignment wrapText="1"/>
    </xf>
    <xf numFmtId="0" fontId="3" fillId="0" borderId="109" xfId="0" applyFont="1" applyBorder="1" applyAlignment="1">
      <alignment/>
    </xf>
    <xf numFmtId="0" fontId="3" fillId="0" borderId="65" xfId="0" applyFont="1" applyBorder="1" applyAlignment="1">
      <alignment wrapText="1"/>
    </xf>
    <xf numFmtId="0" fontId="3" fillId="0" borderId="112" xfId="0" applyFont="1" applyBorder="1" applyAlignment="1">
      <alignment/>
    </xf>
    <xf numFmtId="0" fontId="3" fillId="0" borderId="48" xfId="0" applyFont="1" applyBorder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Normal_Sheet1_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4">
      <selection activeCell="E30" sqref="E30:E31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9.14062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305</v>
      </c>
    </row>
    <row r="3" ht="15.75">
      <c r="A3" s="1" t="s">
        <v>1</v>
      </c>
    </row>
    <row r="4" spans="1:4" ht="15.75">
      <c r="A4" s="525" t="s">
        <v>306</v>
      </c>
      <c r="B4" s="526"/>
      <c r="C4" s="526"/>
      <c r="D4" s="526"/>
    </row>
    <row r="5" ht="15.75">
      <c r="A5" s="3" t="s">
        <v>2</v>
      </c>
    </row>
    <row r="6" spans="1:4" ht="16.5" thickBot="1">
      <c r="A6" s="3"/>
      <c r="D6" t="s">
        <v>197</v>
      </c>
    </row>
    <row r="7" spans="1:4" ht="27" customHeight="1" thickBot="1">
      <c r="A7" s="4" t="s">
        <v>3</v>
      </c>
      <c r="B7" s="5" t="s">
        <v>4</v>
      </c>
      <c r="C7" s="23" t="s">
        <v>5</v>
      </c>
      <c r="D7" s="57" t="s">
        <v>6</v>
      </c>
    </row>
    <row r="8" spans="1:4" ht="13.5" thickBot="1">
      <c r="A8" s="6">
        <v>1</v>
      </c>
      <c r="B8" s="7">
        <v>2</v>
      </c>
      <c r="C8" s="24">
        <v>3</v>
      </c>
      <c r="D8" s="58">
        <v>4</v>
      </c>
    </row>
    <row r="9" spans="1:4" ht="27.75" customHeight="1" thickBot="1">
      <c r="A9" s="8" t="s">
        <v>7</v>
      </c>
      <c r="B9" s="9" t="s">
        <v>8</v>
      </c>
      <c r="C9" s="25" t="s">
        <v>315</v>
      </c>
      <c r="D9" s="59">
        <f>D10+D12+D16</f>
        <v>13306</v>
      </c>
    </row>
    <row r="10" spans="1:4" ht="15" customHeight="1" thickBot="1">
      <c r="A10" s="8" t="s">
        <v>9</v>
      </c>
      <c r="B10" s="10" t="s">
        <v>185</v>
      </c>
      <c r="C10" s="25" t="s">
        <v>10</v>
      </c>
      <c r="D10" s="59">
        <f>D11</f>
        <v>12550</v>
      </c>
    </row>
    <row r="11" spans="1:6" ht="18.75" customHeight="1" thickBot="1">
      <c r="A11" s="8" t="s">
        <v>11</v>
      </c>
      <c r="B11" s="9" t="s">
        <v>12</v>
      </c>
      <c r="C11" s="26" t="s">
        <v>307</v>
      </c>
      <c r="D11" s="59">
        <v>12550</v>
      </c>
      <c r="F11" s="52"/>
    </row>
    <row r="12" spans="1:4" ht="16.5" customHeight="1" thickBot="1">
      <c r="A12" s="8" t="s">
        <v>13</v>
      </c>
      <c r="B12" s="9" t="s">
        <v>17</v>
      </c>
      <c r="C12" s="25" t="s">
        <v>18</v>
      </c>
      <c r="D12" s="59">
        <f>D13+D14+D15</f>
        <v>669</v>
      </c>
    </row>
    <row r="13" spans="1:4" ht="15" customHeight="1" thickBot="1">
      <c r="A13" s="8" t="s">
        <v>14</v>
      </c>
      <c r="B13" s="9" t="s">
        <v>20</v>
      </c>
      <c r="C13" s="26" t="s">
        <v>21</v>
      </c>
      <c r="D13" s="60">
        <v>460</v>
      </c>
    </row>
    <row r="14" spans="1:4" ht="24.75" customHeight="1" thickBot="1">
      <c r="A14" s="8" t="s">
        <v>15</v>
      </c>
      <c r="B14" s="9" t="s">
        <v>23</v>
      </c>
      <c r="C14" s="26" t="s">
        <v>24</v>
      </c>
      <c r="D14" s="60">
        <v>9</v>
      </c>
    </row>
    <row r="15" spans="1:4" ht="18.75" customHeight="1" thickBot="1">
      <c r="A15" s="8" t="s">
        <v>16</v>
      </c>
      <c r="B15" s="9" t="s">
        <v>26</v>
      </c>
      <c r="C15" s="26" t="s">
        <v>27</v>
      </c>
      <c r="D15" s="60">
        <v>200</v>
      </c>
    </row>
    <row r="16" spans="1:4" ht="18.75" customHeight="1" thickBot="1">
      <c r="A16" s="8" t="s">
        <v>19</v>
      </c>
      <c r="B16" s="9" t="s">
        <v>29</v>
      </c>
      <c r="C16" s="25" t="s">
        <v>30</v>
      </c>
      <c r="D16" s="59">
        <f>D17+D18</f>
        <v>87</v>
      </c>
    </row>
    <row r="17" spans="1:4" ht="18" customHeight="1" thickBot="1">
      <c r="A17" s="8" t="s">
        <v>22</v>
      </c>
      <c r="B17" s="9" t="s">
        <v>32</v>
      </c>
      <c r="C17" s="26" t="s">
        <v>33</v>
      </c>
      <c r="D17" s="60">
        <v>55</v>
      </c>
    </row>
    <row r="18" spans="1:4" ht="17.25" customHeight="1" thickBot="1">
      <c r="A18" s="8" t="s">
        <v>25</v>
      </c>
      <c r="B18" s="9" t="s">
        <v>35</v>
      </c>
      <c r="C18" s="26" t="s">
        <v>36</v>
      </c>
      <c r="D18" s="60">
        <f>D19+D20</f>
        <v>32</v>
      </c>
    </row>
    <row r="19" spans="1:4" ht="17.25" customHeight="1" thickBot="1">
      <c r="A19" s="8" t="s">
        <v>28</v>
      </c>
      <c r="B19" s="9" t="s">
        <v>38</v>
      </c>
      <c r="C19" s="26" t="s">
        <v>39</v>
      </c>
      <c r="D19" s="60">
        <v>31</v>
      </c>
    </row>
    <row r="20" spans="1:4" ht="15.75" customHeight="1" thickBot="1">
      <c r="A20" s="8" t="s">
        <v>31</v>
      </c>
      <c r="B20" s="9" t="s">
        <v>41</v>
      </c>
      <c r="C20" s="26" t="s">
        <v>42</v>
      </c>
      <c r="D20" s="60">
        <v>1</v>
      </c>
    </row>
    <row r="21" spans="1:4" ht="16.5" customHeight="1" thickBot="1">
      <c r="A21" s="8" t="s">
        <v>34</v>
      </c>
      <c r="B21" s="9" t="s">
        <v>44</v>
      </c>
      <c r="C21" s="25" t="s">
        <v>321</v>
      </c>
      <c r="D21" s="66">
        <f>D22+D29+D30</f>
        <v>11778.133</v>
      </c>
    </row>
    <row r="22" spans="1:4" ht="17.25" customHeight="1" thickBot="1">
      <c r="A22" s="8" t="s">
        <v>37</v>
      </c>
      <c r="B22" s="9" t="s">
        <v>46</v>
      </c>
      <c r="C22" s="26" t="s">
        <v>620</v>
      </c>
      <c r="D22" s="66">
        <f>D23+D24+D25+D26+D27+D28</f>
        <v>8870.133</v>
      </c>
    </row>
    <row r="23" spans="1:4" ht="18.75" customHeight="1" thickBot="1">
      <c r="A23" s="8" t="s">
        <v>40</v>
      </c>
      <c r="B23" s="9" t="s">
        <v>48</v>
      </c>
      <c r="C23" s="26" t="s">
        <v>49</v>
      </c>
      <c r="D23" s="65">
        <v>2395.233</v>
      </c>
    </row>
    <row r="24" spans="1:4" ht="19.5" customHeight="1" thickBot="1">
      <c r="A24" s="8" t="s">
        <v>43</v>
      </c>
      <c r="B24" s="9" t="s">
        <v>51</v>
      </c>
      <c r="C24" s="30" t="s">
        <v>105</v>
      </c>
      <c r="D24" s="121">
        <v>6120.4</v>
      </c>
    </row>
    <row r="25" spans="1:4" ht="48" customHeight="1" thickBot="1">
      <c r="A25" s="8" t="s">
        <v>45</v>
      </c>
      <c r="B25" s="26" t="s">
        <v>53</v>
      </c>
      <c r="C25" s="31" t="s">
        <v>202</v>
      </c>
      <c r="D25" s="54">
        <v>128.2</v>
      </c>
    </row>
    <row r="26" spans="1:4" ht="51" customHeight="1" thickBot="1">
      <c r="A26" s="8" t="s">
        <v>47</v>
      </c>
      <c r="B26" s="30" t="s">
        <v>205</v>
      </c>
      <c r="C26" s="33" t="s">
        <v>204</v>
      </c>
      <c r="D26" s="54">
        <v>0.5</v>
      </c>
    </row>
    <row r="27" spans="1:4" ht="51" customHeight="1" thickBot="1">
      <c r="A27" s="8" t="s">
        <v>50</v>
      </c>
      <c r="B27" s="32" t="s">
        <v>618</v>
      </c>
      <c r="C27" s="17" t="s">
        <v>617</v>
      </c>
      <c r="D27" s="126">
        <v>156.5</v>
      </c>
    </row>
    <row r="28" spans="1:4" ht="30.75" customHeight="1" thickBot="1">
      <c r="A28" s="8" t="s">
        <v>52</v>
      </c>
      <c r="B28" s="26" t="s">
        <v>619</v>
      </c>
      <c r="C28" s="31" t="s">
        <v>320</v>
      </c>
      <c r="D28" s="126">
        <v>69.3</v>
      </c>
    </row>
    <row r="29" spans="1:4" ht="21.75" customHeight="1" thickBot="1">
      <c r="A29" s="8" t="s">
        <v>129</v>
      </c>
      <c r="B29" s="9" t="s">
        <v>57</v>
      </c>
      <c r="C29" s="32" t="s">
        <v>58</v>
      </c>
      <c r="D29" s="60">
        <v>2254</v>
      </c>
    </row>
    <row r="30" spans="1:4" ht="18.75" customHeight="1" thickBot="1">
      <c r="A30" s="8" t="s">
        <v>56</v>
      </c>
      <c r="B30" s="9" t="s">
        <v>54</v>
      </c>
      <c r="C30" s="26" t="s">
        <v>55</v>
      </c>
      <c r="D30" s="60">
        <v>654</v>
      </c>
    </row>
    <row r="31" spans="1:4" ht="18.75" customHeight="1" thickBot="1">
      <c r="A31" s="8" t="s">
        <v>59</v>
      </c>
      <c r="B31" s="9" t="s">
        <v>60</v>
      </c>
      <c r="C31" s="25" t="s">
        <v>621</v>
      </c>
      <c r="D31" s="67">
        <f>D32+D36+D37+D38</f>
        <v>1212.461</v>
      </c>
    </row>
    <row r="32" spans="1:4" ht="19.5" customHeight="1" thickBot="1">
      <c r="A32" s="8" t="s">
        <v>61</v>
      </c>
      <c r="B32" s="9" t="s">
        <v>62</v>
      </c>
      <c r="C32" s="25" t="s">
        <v>622</v>
      </c>
      <c r="D32" s="59">
        <f>D33+D34+D35</f>
        <v>165</v>
      </c>
    </row>
    <row r="33" spans="1:4" ht="33" customHeight="1" thickBot="1">
      <c r="A33" s="8" t="s">
        <v>63</v>
      </c>
      <c r="B33" s="9" t="s">
        <v>64</v>
      </c>
      <c r="C33" s="26" t="s">
        <v>65</v>
      </c>
      <c r="D33" s="60">
        <v>70</v>
      </c>
    </row>
    <row r="34" spans="1:4" ht="16.5" thickBot="1">
      <c r="A34" s="8" t="s">
        <v>66</v>
      </c>
      <c r="B34" s="9" t="s">
        <v>256</v>
      </c>
      <c r="C34" s="26" t="s">
        <v>257</v>
      </c>
      <c r="D34" s="60">
        <v>20</v>
      </c>
    </row>
    <row r="35" spans="1:4" ht="18" customHeight="1" thickBot="1">
      <c r="A35" s="8" t="s">
        <v>69</v>
      </c>
      <c r="B35" s="9" t="s">
        <v>67</v>
      </c>
      <c r="C35" s="26" t="s">
        <v>68</v>
      </c>
      <c r="D35" s="60">
        <v>75</v>
      </c>
    </row>
    <row r="36" spans="1:4" ht="18.75" customHeight="1" thickBot="1">
      <c r="A36" s="8" t="s">
        <v>72</v>
      </c>
      <c r="B36" s="9" t="s">
        <v>70</v>
      </c>
      <c r="C36" s="25" t="s">
        <v>71</v>
      </c>
      <c r="D36" s="61">
        <v>1032.461</v>
      </c>
    </row>
    <row r="37" spans="1:4" ht="18" customHeight="1" thickBot="1">
      <c r="A37" s="8" t="s">
        <v>73</v>
      </c>
      <c r="B37" s="9" t="s">
        <v>258</v>
      </c>
      <c r="C37" s="25" t="s">
        <v>259</v>
      </c>
      <c r="D37" s="59">
        <v>5</v>
      </c>
    </row>
    <row r="38" spans="1:4" ht="18" customHeight="1" thickBot="1">
      <c r="A38" s="8" t="s">
        <v>74</v>
      </c>
      <c r="B38" s="9" t="s">
        <v>260</v>
      </c>
      <c r="C38" s="25" t="s">
        <v>261</v>
      </c>
      <c r="D38" s="59">
        <v>10</v>
      </c>
    </row>
    <row r="39" spans="1:4" ht="33" customHeight="1" thickBot="1">
      <c r="A39" s="8" t="s">
        <v>75</v>
      </c>
      <c r="B39" s="9"/>
      <c r="C39" s="25" t="s">
        <v>623</v>
      </c>
      <c r="D39" s="67">
        <f>D9+D21+D31</f>
        <v>26296.594</v>
      </c>
    </row>
    <row r="40" spans="1:4" ht="15.75" customHeight="1" thickBot="1">
      <c r="A40" s="527" t="s">
        <v>138</v>
      </c>
      <c r="B40" s="530"/>
      <c r="C40" s="120" t="s">
        <v>312</v>
      </c>
      <c r="D40" s="129">
        <v>663.25</v>
      </c>
    </row>
    <row r="41" spans="1:4" ht="16.5" customHeight="1">
      <c r="A41" s="528"/>
      <c r="B41" s="531"/>
      <c r="C41" s="119" t="s">
        <v>313</v>
      </c>
      <c r="D41" s="130">
        <v>107.551</v>
      </c>
    </row>
    <row r="42" spans="1:4" ht="37.5" customHeight="1">
      <c r="A42" s="528"/>
      <c r="B42" s="531"/>
      <c r="C42" s="119" t="s">
        <v>314</v>
      </c>
      <c r="D42" s="127">
        <v>100.524</v>
      </c>
    </row>
    <row r="43" spans="1:4" ht="13.5" thickBot="1">
      <c r="A43" s="529"/>
      <c r="B43" s="532"/>
      <c r="C43" s="123" t="s">
        <v>322</v>
      </c>
      <c r="D43" s="128">
        <v>455.175</v>
      </c>
    </row>
  </sheetData>
  <sheetProtection/>
  <mergeCells count="3">
    <mergeCell ref="A4:D4"/>
    <mergeCell ref="A40:A43"/>
    <mergeCell ref="B40:B43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E53"/>
  <sheetViews>
    <sheetView workbookViewId="0" topLeftCell="A38">
      <selection activeCell="F55" sqref="F55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76</v>
      </c>
    </row>
    <row r="3" spans="2:3" ht="15.75">
      <c r="B3" s="1" t="s">
        <v>309</v>
      </c>
      <c r="C3" s="1"/>
    </row>
    <row r="4" ht="15.75">
      <c r="B4" s="1" t="s">
        <v>77</v>
      </c>
    </row>
    <row r="5" ht="31.5">
      <c r="B5" s="118" t="s">
        <v>310</v>
      </c>
    </row>
    <row r="6" ht="15.75">
      <c r="B6" s="1" t="s">
        <v>276</v>
      </c>
    </row>
    <row r="7" spans="1:3" ht="15.75">
      <c r="A7" s="20" t="s">
        <v>3</v>
      </c>
      <c r="B7" s="63" t="s">
        <v>275</v>
      </c>
      <c r="C7" s="20" t="s">
        <v>274</v>
      </c>
    </row>
    <row r="8" spans="1:3" ht="20.25" customHeight="1">
      <c r="A8" s="15" t="s">
        <v>7</v>
      </c>
      <c r="B8" s="533" t="s">
        <v>188</v>
      </c>
      <c r="C8" s="534"/>
    </row>
    <row r="9" spans="1:3" ht="19.5" customHeight="1">
      <c r="A9" s="15" t="s">
        <v>9</v>
      </c>
      <c r="B9" s="74" t="s">
        <v>78</v>
      </c>
      <c r="C9" s="74">
        <f>C10+C11+C12+C13</f>
        <v>48.5</v>
      </c>
    </row>
    <row r="10" spans="1:3" ht="18" customHeight="1">
      <c r="A10" s="15" t="s">
        <v>11</v>
      </c>
      <c r="B10" s="16" t="s">
        <v>79</v>
      </c>
      <c r="C10" s="63">
        <v>26.4</v>
      </c>
    </row>
    <row r="11" spans="1:3" ht="14.25" customHeight="1">
      <c r="A11" s="15" t="s">
        <v>13</v>
      </c>
      <c r="B11" s="17" t="s">
        <v>80</v>
      </c>
      <c r="C11" s="63">
        <v>11.8</v>
      </c>
    </row>
    <row r="12" spans="1:3" ht="14.25" customHeight="1">
      <c r="A12" s="15" t="s">
        <v>14</v>
      </c>
      <c r="B12" s="17" t="s">
        <v>82</v>
      </c>
      <c r="C12" s="63">
        <v>0.5</v>
      </c>
    </row>
    <row r="13" spans="1:3" ht="14.25" customHeight="1">
      <c r="A13" s="15" t="s">
        <v>15</v>
      </c>
      <c r="B13" s="17" t="s">
        <v>83</v>
      </c>
      <c r="C13" s="63">
        <v>9.8</v>
      </c>
    </row>
    <row r="14" spans="1:5" ht="16.5" customHeight="1">
      <c r="A14" s="15" t="s">
        <v>16</v>
      </c>
      <c r="B14" s="74" t="s">
        <v>81</v>
      </c>
      <c r="C14" s="74">
        <f>C15+C16</f>
        <v>671.533</v>
      </c>
      <c r="D14" s="29"/>
      <c r="E14" s="29"/>
    </row>
    <row r="15" spans="1:3" ht="18" customHeight="1">
      <c r="A15" s="15" t="s">
        <v>19</v>
      </c>
      <c r="B15" s="17" t="s">
        <v>84</v>
      </c>
      <c r="C15" s="63">
        <v>657.6</v>
      </c>
    </row>
    <row r="16" spans="1:3" ht="15" customHeight="1">
      <c r="A16" s="15" t="s">
        <v>22</v>
      </c>
      <c r="B16" s="17" t="s">
        <v>85</v>
      </c>
      <c r="C16" s="63">
        <v>13.933</v>
      </c>
    </row>
    <row r="17" spans="1:3" ht="19.5" customHeight="1">
      <c r="A17" s="15" t="s">
        <v>25</v>
      </c>
      <c r="B17" s="74" t="s">
        <v>86</v>
      </c>
      <c r="C17" s="74">
        <f>SUM(C18:C23)</f>
        <v>1066.9</v>
      </c>
    </row>
    <row r="18" spans="1:3" ht="17.25" customHeight="1">
      <c r="A18" s="15" t="s">
        <v>28</v>
      </c>
      <c r="B18" s="75" t="s">
        <v>199</v>
      </c>
      <c r="C18" s="63">
        <v>201.2</v>
      </c>
    </row>
    <row r="19" spans="1:3" ht="17.25" customHeight="1">
      <c r="A19" s="15" t="s">
        <v>31</v>
      </c>
      <c r="B19" s="17" t="s">
        <v>87</v>
      </c>
      <c r="C19" s="63">
        <v>290.2</v>
      </c>
    </row>
    <row r="20" spans="1:3" ht="16.5" customHeight="1">
      <c r="A20" s="15" t="s">
        <v>34</v>
      </c>
      <c r="B20" s="17" t="s">
        <v>88</v>
      </c>
      <c r="C20" s="63">
        <v>300</v>
      </c>
    </row>
    <row r="21" spans="1:3" ht="16.5" customHeight="1">
      <c r="A21" s="15" t="s">
        <v>37</v>
      </c>
      <c r="B21" s="17" t="s">
        <v>89</v>
      </c>
      <c r="C21" s="63">
        <v>62.2</v>
      </c>
    </row>
    <row r="22" spans="1:3" ht="18" customHeight="1">
      <c r="A22" s="15" t="s">
        <v>40</v>
      </c>
      <c r="B22" s="17" t="s">
        <v>90</v>
      </c>
      <c r="C22" s="63">
        <v>14.3</v>
      </c>
    </row>
    <row r="23" spans="1:3" ht="15" customHeight="1">
      <c r="A23" s="15" t="s">
        <v>43</v>
      </c>
      <c r="B23" s="17" t="s">
        <v>91</v>
      </c>
      <c r="C23" s="63">
        <v>199</v>
      </c>
    </row>
    <row r="24" spans="1:3" ht="15" customHeight="1">
      <c r="A24" s="15" t="s">
        <v>45</v>
      </c>
      <c r="B24" s="74" t="s">
        <v>186</v>
      </c>
      <c r="C24" s="74">
        <f>C25+C26</f>
        <v>117.1</v>
      </c>
    </row>
    <row r="25" spans="1:3" ht="15" customHeight="1">
      <c r="A25" s="15" t="s">
        <v>47</v>
      </c>
      <c r="B25" s="75" t="s">
        <v>187</v>
      </c>
      <c r="C25" s="63">
        <v>113.5</v>
      </c>
    </row>
    <row r="26" spans="1:3" ht="15" customHeight="1">
      <c r="A26" s="15"/>
      <c r="B26" s="17" t="s">
        <v>308</v>
      </c>
      <c r="C26" s="63">
        <v>3.6</v>
      </c>
    </row>
    <row r="27" spans="1:3" ht="15.75" customHeight="1">
      <c r="A27" s="15" t="s">
        <v>50</v>
      </c>
      <c r="B27" s="74" t="s">
        <v>92</v>
      </c>
      <c r="C27" s="117">
        <f>C28+C29+C30</f>
        <v>448.5</v>
      </c>
    </row>
    <row r="28" spans="1:3" ht="15" customHeight="1">
      <c r="A28" s="15" t="s">
        <v>52</v>
      </c>
      <c r="B28" s="17" t="s">
        <v>93</v>
      </c>
      <c r="C28" s="63">
        <v>191.8</v>
      </c>
    </row>
    <row r="29" spans="1:3" ht="16.5" customHeight="1">
      <c r="A29" s="15" t="s">
        <v>56</v>
      </c>
      <c r="B29" s="17" t="s">
        <v>94</v>
      </c>
      <c r="C29" s="63">
        <v>256</v>
      </c>
    </row>
    <row r="30" spans="1:3" ht="31.5">
      <c r="A30" s="15">
        <v>23</v>
      </c>
      <c r="B30" s="73" t="s">
        <v>263</v>
      </c>
      <c r="C30" s="63">
        <v>0.7</v>
      </c>
    </row>
    <row r="31" spans="1:3" ht="16.5" customHeight="1">
      <c r="A31" s="15">
        <v>24</v>
      </c>
      <c r="B31" s="74" t="s">
        <v>95</v>
      </c>
      <c r="C31" s="74">
        <f>C32</f>
        <v>7.3</v>
      </c>
    </row>
    <row r="32" spans="1:3" ht="18.75" customHeight="1">
      <c r="A32" s="15">
        <v>25</v>
      </c>
      <c r="B32" s="75" t="s">
        <v>96</v>
      </c>
      <c r="C32" s="77">
        <v>7.3</v>
      </c>
    </row>
    <row r="33" spans="1:3" ht="18" customHeight="1">
      <c r="A33" s="15">
        <v>26</v>
      </c>
      <c r="B33" s="74" t="s">
        <v>97</v>
      </c>
      <c r="C33" s="74">
        <f>C34</f>
        <v>26</v>
      </c>
    </row>
    <row r="34" spans="1:3" ht="18" customHeight="1">
      <c r="A34" s="15">
        <v>27</v>
      </c>
      <c r="B34" s="75" t="s">
        <v>98</v>
      </c>
      <c r="C34" s="77">
        <v>26</v>
      </c>
    </row>
    <row r="35" spans="1:3" ht="16.5" customHeight="1">
      <c r="A35" s="15">
        <v>28</v>
      </c>
      <c r="B35" s="74" t="s">
        <v>99</v>
      </c>
      <c r="C35" s="74">
        <f>C36</f>
        <v>0.6</v>
      </c>
    </row>
    <row r="36" spans="1:3" ht="17.25" customHeight="1">
      <c r="A36" s="15">
        <v>29</v>
      </c>
      <c r="B36" s="75" t="s">
        <v>100</v>
      </c>
      <c r="C36" s="77">
        <v>0.6</v>
      </c>
    </row>
    <row r="37" spans="1:3" ht="15.75" customHeight="1">
      <c r="A37" s="15">
        <v>30</v>
      </c>
      <c r="B37" s="74" t="s">
        <v>101</v>
      </c>
      <c r="C37" s="74">
        <v>8.8</v>
      </c>
    </row>
    <row r="38" spans="1:3" ht="18.75" customHeight="1">
      <c r="A38" s="15">
        <v>31</v>
      </c>
      <c r="B38" s="75" t="s">
        <v>102</v>
      </c>
      <c r="C38" s="77">
        <v>8.8</v>
      </c>
    </row>
    <row r="39" spans="1:3" ht="19.5" customHeight="1">
      <c r="A39" s="15">
        <v>32</v>
      </c>
      <c r="B39" s="28" t="s">
        <v>103</v>
      </c>
      <c r="C39" s="94">
        <f>C9+C14+C17+C24+C27+C31+C33+C35+C37</f>
        <v>2395.233</v>
      </c>
    </row>
    <row r="40" spans="1:3" ht="18" customHeight="1">
      <c r="A40" s="15">
        <v>33</v>
      </c>
      <c r="B40" s="74" t="s">
        <v>104</v>
      </c>
      <c r="C40" s="108">
        <f>C42+C44+C43+C45+C46</f>
        <v>6474.9</v>
      </c>
    </row>
    <row r="41" spans="1:3" ht="15.75" customHeight="1" hidden="1">
      <c r="A41" s="15"/>
      <c r="B41" s="62"/>
      <c r="C41" s="78"/>
    </row>
    <row r="42" spans="1:3" ht="15.75">
      <c r="A42" s="15">
        <v>34</v>
      </c>
      <c r="B42" s="17" t="s">
        <v>105</v>
      </c>
      <c r="C42" s="76">
        <v>6120.4</v>
      </c>
    </row>
    <row r="43" spans="1:3" ht="30.75" customHeight="1">
      <c r="A43" s="15">
        <v>35</v>
      </c>
      <c r="B43" s="110" t="s">
        <v>273</v>
      </c>
      <c r="C43" s="76">
        <v>128.2</v>
      </c>
    </row>
    <row r="44" spans="1:3" ht="31.5">
      <c r="A44" s="15">
        <v>36</v>
      </c>
      <c r="B44" s="111" t="s">
        <v>203</v>
      </c>
      <c r="C44" s="76">
        <v>0.5</v>
      </c>
    </row>
    <row r="45" spans="1:3" ht="31.5">
      <c r="A45" s="15">
        <v>37</v>
      </c>
      <c r="B45" s="111" t="s">
        <v>617</v>
      </c>
      <c r="C45" s="76">
        <v>156.5</v>
      </c>
    </row>
    <row r="46" spans="1:3" ht="15.75">
      <c r="A46" s="15">
        <v>38</v>
      </c>
      <c r="B46" s="111" t="s">
        <v>329</v>
      </c>
      <c r="C46" s="76">
        <v>69.3</v>
      </c>
    </row>
    <row r="47" spans="1:3" ht="35.25" customHeight="1">
      <c r="A47" s="15">
        <v>39</v>
      </c>
      <c r="B47" s="109" t="s">
        <v>301</v>
      </c>
      <c r="C47" s="108">
        <f>SUM(C48:C51)</f>
        <v>2254</v>
      </c>
    </row>
    <row r="48" spans="1:3" ht="15.75">
      <c r="A48" s="15">
        <v>40</v>
      </c>
      <c r="B48" s="17" t="s">
        <v>200</v>
      </c>
      <c r="C48" s="76">
        <v>200</v>
      </c>
    </row>
    <row r="49" spans="1:3" ht="31.5">
      <c r="A49" s="15">
        <v>41</v>
      </c>
      <c r="B49" s="17" t="s">
        <v>272</v>
      </c>
      <c r="C49" s="76">
        <v>472</v>
      </c>
    </row>
    <row r="50" spans="1:3" ht="15.75">
      <c r="A50" s="15">
        <v>42</v>
      </c>
      <c r="B50" s="17" t="s">
        <v>201</v>
      </c>
      <c r="C50" s="76">
        <v>1372</v>
      </c>
    </row>
    <row r="51" spans="1:3" ht="15.75">
      <c r="A51" s="15">
        <v>43</v>
      </c>
      <c r="B51" s="17" t="s">
        <v>271</v>
      </c>
      <c r="C51" s="76">
        <v>210</v>
      </c>
    </row>
    <row r="52" spans="1:3" ht="15.75">
      <c r="A52" s="15">
        <v>44</v>
      </c>
      <c r="B52" s="11" t="s">
        <v>106</v>
      </c>
      <c r="C52" s="112">
        <f>C47+C40+C39</f>
        <v>11124.133</v>
      </c>
    </row>
    <row r="53" ht="15.75">
      <c r="B53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C58" sqref="C58"/>
    </sheetView>
  </sheetViews>
  <sheetFormatPr defaultColWidth="9.140625" defaultRowHeight="12.75"/>
  <cols>
    <col min="1" max="1" width="5.28125" style="0" customWidth="1"/>
    <col min="2" max="2" width="36.140625" style="0" customWidth="1"/>
    <col min="3" max="3" width="15.140625" style="0" customWidth="1"/>
    <col min="4" max="4" width="10.28125" style="0" customWidth="1"/>
    <col min="5" max="5" width="9.8515625" style="0" customWidth="1"/>
    <col min="6" max="6" width="10.140625" style="0" customWidth="1"/>
  </cols>
  <sheetData>
    <row r="1" ht="15.75">
      <c r="A1" s="2" t="s">
        <v>614</v>
      </c>
    </row>
    <row r="2" spans="1:8" ht="15.75">
      <c r="A2" s="544" t="s">
        <v>615</v>
      </c>
      <c r="B2" s="544"/>
      <c r="C2" s="544"/>
      <c r="D2" s="544"/>
      <c r="E2" s="544"/>
      <c r="F2" s="544"/>
      <c r="G2" s="544"/>
      <c r="H2" s="544"/>
    </row>
    <row r="3" ht="15.75">
      <c r="A3" s="1" t="s">
        <v>107</v>
      </c>
    </row>
    <row r="4" ht="15.75">
      <c r="A4" s="3" t="s">
        <v>311</v>
      </c>
    </row>
    <row r="5" ht="15.75">
      <c r="A5" s="3" t="s">
        <v>108</v>
      </c>
    </row>
    <row r="6" ht="16.5" thickBot="1">
      <c r="E6" s="1" t="s">
        <v>262</v>
      </c>
    </row>
    <row r="7" spans="1:6" ht="12.75" customHeight="1">
      <c r="A7" s="542" t="s">
        <v>612</v>
      </c>
      <c r="B7" s="538" t="s">
        <v>109</v>
      </c>
      <c r="C7" s="540" t="s">
        <v>110</v>
      </c>
      <c r="D7" s="535" t="s">
        <v>192</v>
      </c>
      <c r="E7" s="536"/>
      <c r="F7" s="537"/>
    </row>
    <row r="8" spans="1:6" ht="81" customHeight="1" thickBot="1">
      <c r="A8" s="543"/>
      <c r="B8" s="539"/>
      <c r="C8" s="541"/>
      <c r="D8" s="483" t="s">
        <v>613</v>
      </c>
      <c r="E8" s="484" t="s">
        <v>193</v>
      </c>
      <c r="F8" s="485" t="s">
        <v>194</v>
      </c>
    </row>
    <row r="9" spans="1:6" ht="12.75">
      <c r="A9" s="21" t="s">
        <v>7</v>
      </c>
      <c r="B9" s="79" t="s">
        <v>268</v>
      </c>
      <c r="C9" s="82">
        <f>D9+E9+F9</f>
        <v>26</v>
      </c>
      <c r="D9" s="469"/>
      <c r="E9" s="68">
        <v>26</v>
      </c>
      <c r="F9" s="470"/>
    </row>
    <row r="10" spans="1:6" ht="12.75">
      <c r="A10" s="22" t="s">
        <v>9</v>
      </c>
      <c r="B10" s="80" t="s">
        <v>111</v>
      </c>
      <c r="C10" s="83">
        <f aca="true" t="shared" si="0" ref="C10:C58">D10+E10+F10</f>
        <v>45.8</v>
      </c>
      <c r="D10" s="84"/>
      <c r="E10" s="70">
        <v>28.8</v>
      </c>
      <c r="F10" s="71">
        <v>17</v>
      </c>
    </row>
    <row r="11" spans="1:6" ht="12.75">
      <c r="A11" s="22" t="s">
        <v>11</v>
      </c>
      <c r="B11" s="80" t="s">
        <v>112</v>
      </c>
      <c r="C11" s="83">
        <f>D11+E11+F11</f>
        <v>58</v>
      </c>
      <c r="D11" s="84"/>
      <c r="E11" s="70">
        <v>3.1</v>
      </c>
      <c r="F11" s="71">
        <v>54.9</v>
      </c>
    </row>
    <row r="12" spans="1:6" ht="12.75">
      <c r="A12" s="22" t="s">
        <v>13</v>
      </c>
      <c r="B12" s="80" t="s">
        <v>269</v>
      </c>
      <c r="C12" s="83">
        <f t="shared" si="0"/>
        <v>3</v>
      </c>
      <c r="D12" s="84"/>
      <c r="E12" s="70">
        <v>0.2</v>
      </c>
      <c r="F12" s="71">
        <v>2.8</v>
      </c>
    </row>
    <row r="13" spans="1:6" ht="12.75">
      <c r="A13" s="22" t="s">
        <v>14</v>
      </c>
      <c r="B13" s="80" t="s">
        <v>113</v>
      </c>
      <c r="C13" s="83">
        <f t="shared" si="0"/>
        <v>15</v>
      </c>
      <c r="D13" s="84">
        <v>11.5</v>
      </c>
      <c r="E13" s="70">
        <v>1.5</v>
      </c>
      <c r="F13" s="71">
        <v>2</v>
      </c>
    </row>
    <row r="14" spans="1:6" ht="12.75">
      <c r="A14" s="22" t="s">
        <v>15</v>
      </c>
      <c r="B14" s="80" t="s">
        <v>114</v>
      </c>
      <c r="C14" s="83">
        <f t="shared" si="0"/>
        <v>60</v>
      </c>
      <c r="D14" s="84">
        <v>59</v>
      </c>
      <c r="E14" s="70"/>
      <c r="F14" s="71">
        <v>1</v>
      </c>
    </row>
    <row r="15" spans="1:6" ht="12.75">
      <c r="A15" s="22" t="s">
        <v>16</v>
      </c>
      <c r="B15" s="80" t="s">
        <v>115</v>
      </c>
      <c r="C15" s="83">
        <f t="shared" si="0"/>
        <v>135</v>
      </c>
      <c r="D15" s="471"/>
      <c r="E15" s="69"/>
      <c r="F15" s="481">
        <v>135</v>
      </c>
    </row>
    <row r="16" spans="1:6" ht="12.75">
      <c r="A16" s="22" t="s">
        <v>19</v>
      </c>
      <c r="B16" s="173" t="s">
        <v>270</v>
      </c>
      <c r="C16" s="83">
        <f t="shared" si="0"/>
        <v>14.1</v>
      </c>
      <c r="D16" s="84"/>
      <c r="E16" s="70"/>
      <c r="F16" s="71">
        <v>14.1</v>
      </c>
    </row>
    <row r="17" spans="1:6" ht="12.75">
      <c r="A17" s="22" t="s">
        <v>22</v>
      </c>
      <c r="B17" s="80" t="s">
        <v>116</v>
      </c>
      <c r="C17" s="83">
        <f t="shared" si="0"/>
        <v>0.4</v>
      </c>
      <c r="D17" s="84"/>
      <c r="E17" s="70">
        <v>0.3</v>
      </c>
      <c r="F17" s="71">
        <v>0.1</v>
      </c>
    </row>
    <row r="18" spans="1:6" ht="12.75">
      <c r="A18" s="22" t="s">
        <v>25</v>
      </c>
      <c r="B18" s="80" t="s">
        <v>117</v>
      </c>
      <c r="C18" s="83">
        <f t="shared" si="0"/>
        <v>1.6</v>
      </c>
      <c r="D18" s="84"/>
      <c r="E18" s="482">
        <v>0.78</v>
      </c>
      <c r="F18" s="481">
        <v>0.82</v>
      </c>
    </row>
    <row r="19" spans="1:6" ht="12.75">
      <c r="A19" s="22" t="s">
        <v>28</v>
      </c>
      <c r="B19" s="80" t="s">
        <v>118</v>
      </c>
      <c r="C19" s="83">
        <f t="shared" si="0"/>
        <v>4</v>
      </c>
      <c r="D19" s="84"/>
      <c r="E19" s="70">
        <v>2</v>
      </c>
      <c r="F19" s="71">
        <v>2</v>
      </c>
    </row>
    <row r="20" spans="1:6" ht="12.75">
      <c r="A20" s="22" t="s">
        <v>31</v>
      </c>
      <c r="B20" s="80" t="s">
        <v>119</v>
      </c>
      <c r="C20" s="83">
        <f t="shared" si="0"/>
        <v>0.02</v>
      </c>
      <c r="D20" s="472"/>
      <c r="E20" s="473"/>
      <c r="F20" s="474">
        <v>0.02</v>
      </c>
    </row>
    <row r="21" spans="1:6" ht="12.75">
      <c r="A21" s="22" t="s">
        <v>34</v>
      </c>
      <c r="B21" s="80" t="s">
        <v>120</v>
      </c>
      <c r="C21" s="83">
        <f t="shared" si="0"/>
        <v>5.212000000000001</v>
      </c>
      <c r="D21" s="84"/>
      <c r="E21" s="70">
        <v>0.602</v>
      </c>
      <c r="F21" s="71">
        <v>4.61</v>
      </c>
    </row>
    <row r="22" spans="1:6" ht="12.75">
      <c r="A22" s="22" t="s">
        <v>37</v>
      </c>
      <c r="B22" s="80" t="s">
        <v>121</v>
      </c>
      <c r="C22" s="83">
        <f t="shared" si="0"/>
        <v>2.4</v>
      </c>
      <c r="D22" s="84"/>
      <c r="E22" s="70">
        <v>0.3</v>
      </c>
      <c r="F22" s="71">
        <v>2.1</v>
      </c>
    </row>
    <row r="23" spans="1:6" ht="12.75">
      <c r="A23" s="22" t="s">
        <v>40</v>
      </c>
      <c r="B23" s="80" t="s">
        <v>122</v>
      </c>
      <c r="C23" s="83">
        <f t="shared" si="0"/>
        <v>2.5</v>
      </c>
      <c r="D23" s="84"/>
      <c r="E23" s="70">
        <v>0.3</v>
      </c>
      <c r="F23" s="71">
        <v>2.2</v>
      </c>
    </row>
    <row r="24" spans="1:6" ht="12.75">
      <c r="A24" s="22" t="s">
        <v>43</v>
      </c>
      <c r="B24" s="80" t="s">
        <v>123</v>
      </c>
      <c r="C24" s="83">
        <f t="shared" si="0"/>
        <v>0.3</v>
      </c>
      <c r="D24" s="84"/>
      <c r="E24" s="70">
        <v>0.3</v>
      </c>
      <c r="F24" s="71"/>
    </row>
    <row r="25" spans="1:6" ht="12.75">
      <c r="A25" s="22" t="s">
        <v>45</v>
      </c>
      <c r="B25" s="80" t="s">
        <v>124</v>
      </c>
      <c r="C25" s="83">
        <f t="shared" si="0"/>
        <v>2</v>
      </c>
      <c r="D25" s="84"/>
      <c r="E25" s="70">
        <v>1</v>
      </c>
      <c r="F25" s="71">
        <v>1</v>
      </c>
    </row>
    <row r="26" spans="1:6" ht="12.75">
      <c r="A26" s="22" t="s">
        <v>47</v>
      </c>
      <c r="B26" s="80" t="s">
        <v>125</v>
      </c>
      <c r="C26" s="83">
        <f t="shared" si="0"/>
        <v>102.30000000000001</v>
      </c>
      <c r="D26" s="84"/>
      <c r="E26" s="70">
        <v>1.87</v>
      </c>
      <c r="F26" s="71">
        <v>100.43</v>
      </c>
    </row>
    <row r="27" spans="1:6" ht="12.75">
      <c r="A27" s="22" t="s">
        <v>50</v>
      </c>
      <c r="B27" s="80" t="s">
        <v>126</v>
      </c>
      <c r="C27" s="83">
        <f t="shared" si="0"/>
        <v>20.2</v>
      </c>
      <c r="D27" s="84">
        <v>19.2</v>
      </c>
      <c r="E27" s="70"/>
      <c r="F27" s="71">
        <v>1</v>
      </c>
    </row>
    <row r="28" spans="1:6" ht="12.75">
      <c r="A28" s="22" t="s">
        <v>52</v>
      </c>
      <c r="B28" s="80" t="s">
        <v>127</v>
      </c>
      <c r="C28" s="83">
        <f t="shared" si="0"/>
        <v>42.6</v>
      </c>
      <c r="D28" s="475">
        <v>42.6</v>
      </c>
      <c r="E28" s="476"/>
      <c r="F28" s="72"/>
    </row>
    <row r="29" spans="1:6" ht="12.75">
      <c r="A29" s="22" t="s">
        <v>129</v>
      </c>
      <c r="B29" s="80" t="s">
        <v>128</v>
      </c>
      <c r="C29" s="83">
        <f t="shared" si="0"/>
        <v>11.874</v>
      </c>
      <c r="D29" s="84">
        <v>11.224</v>
      </c>
      <c r="E29" s="70"/>
      <c r="F29" s="71">
        <v>0.65</v>
      </c>
    </row>
    <row r="30" spans="1:6" ht="12.75">
      <c r="A30" s="22" t="s">
        <v>56</v>
      </c>
      <c r="B30" s="80" t="s">
        <v>130</v>
      </c>
      <c r="C30" s="83">
        <f t="shared" si="0"/>
        <v>44</v>
      </c>
      <c r="D30" s="84">
        <v>25</v>
      </c>
      <c r="E30" s="70"/>
      <c r="F30" s="71">
        <v>19</v>
      </c>
    </row>
    <row r="31" spans="1:6" ht="12.75">
      <c r="A31" s="22" t="s">
        <v>59</v>
      </c>
      <c r="B31" s="80" t="s">
        <v>131</v>
      </c>
      <c r="C31" s="83">
        <f t="shared" si="0"/>
        <v>9.7</v>
      </c>
      <c r="D31" s="84">
        <v>9.7</v>
      </c>
      <c r="E31" s="70"/>
      <c r="F31" s="71"/>
    </row>
    <row r="32" spans="1:6" ht="12.75">
      <c r="A32" s="22" t="s">
        <v>61</v>
      </c>
      <c r="B32" s="80" t="s">
        <v>132</v>
      </c>
      <c r="C32" s="83">
        <f t="shared" si="0"/>
        <v>8.3</v>
      </c>
      <c r="D32" s="84">
        <v>6.5</v>
      </c>
      <c r="E32" s="70"/>
      <c r="F32" s="71">
        <v>1.8</v>
      </c>
    </row>
    <row r="33" spans="1:6" ht="12.75">
      <c r="A33" s="22" t="s">
        <v>63</v>
      </c>
      <c r="B33" s="80" t="s">
        <v>133</v>
      </c>
      <c r="C33" s="83">
        <v>45.85</v>
      </c>
      <c r="D33" s="84">
        <v>45.85</v>
      </c>
      <c r="E33" s="70"/>
      <c r="F33" s="71"/>
    </row>
    <row r="34" spans="1:6" ht="12.75">
      <c r="A34" s="22" t="s">
        <v>66</v>
      </c>
      <c r="B34" s="80" t="s">
        <v>134</v>
      </c>
      <c r="C34" s="83">
        <f t="shared" si="0"/>
        <v>15.8</v>
      </c>
      <c r="D34" s="84"/>
      <c r="E34" s="70">
        <v>2.8</v>
      </c>
      <c r="F34" s="71">
        <v>13</v>
      </c>
    </row>
    <row r="35" spans="1:6" ht="12.75">
      <c r="A35" s="22" t="s">
        <v>69</v>
      </c>
      <c r="B35" s="80" t="s">
        <v>135</v>
      </c>
      <c r="C35" s="83">
        <f t="shared" si="0"/>
        <v>7</v>
      </c>
      <c r="D35" s="84">
        <v>4</v>
      </c>
      <c r="E35" s="70"/>
      <c r="F35" s="71">
        <v>3</v>
      </c>
    </row>
    <row r="36" spans="1:6" ht="12.75">
      <c r="A36" s="22" t="s">
        <v>72</v>
      </c>
      <c r="B36" s="80" t="s">
        <v>136</v>
      </c>
      <c r="C36" s="83">
        <f t="shared" si="0"/>
        <v>6.9</v>
      </c>
      <c r="D36" s="84"/>
      <c r="E36" s="70"/>
      <c r="F36" s="71">
        <v>6.9</v>
      </c>
    </row>
    <row r="37" spans="1:6" ht="12.75">
      <c r="A37" s="22" t="s">
        <v>73</v>
      </c>
      <c r="B37" s="80" t="s">
        <v>137</v>
      </c>
      <c r="C37" s="83">
        <f t="shared" si="0"/>
        <v>4</v>
      </c>
      <c r="D37" s="475"/>
      <c r="E37" s="476"/>
      <c r="F37" s="72">
        <v>4</v>
      </c>
    </row>
    <row r="38" spans="1:6" ht="12.75">
      <c r="A38" s="22" t="s">
        <v>74</v>
      </c>
      <c r="B38" s="80" t="s">
        <v>139</v>
      </c>
      <c r="C38" s="83">
        <f t="shared" si="0"/>
        <v>14.700000000000001</v>
      </c>
      <c r="D38" s="84"/>
      <c r="E38" s="70">
        <v>0.3</v>
      </c>
      <c r="F38" s="71">
        <v>14.4</v>
      </c>
    </row>
    <row r="39" spans="1:6" ht="12.75">
      <c r="A39" s="22" t="s">
        <v>75</v>
      </c>
      <c r="B39" s="80" t="s">
        <v>141</v>
      </c>
      <c r="C39" s="83">
        <v>75</v>
      </c>
      <c r="D39" s="84"/>
      <c r="E39" s="70"/>
      <c r="F39" s="71">
        <v>75</v>
      </c>
    </row>
    <row r="40" spans="1:6" ht="15.75" customHeight="1">
      <c r="A40" s="22" t="s">
        <v>138</v>
      </c>
      <c r="B40" s="81" t="s">
        <v>143</v>
      </c>
      <c r="C40" s="83">
        <f t="shared" si="0"/>
        <v>10</v>
      </c>
      <c r="D40" s="84">
        <v>1</v>
      </c>
      <c r="E40" s="70"/>
      <c r="F40" s="71">
        <v>9</v>
      </c>
    </row>
    <row r="41" spans="1:6" ht="12.75">
      <c r="A41" s="22" t="s">
        <v>140</v>
      </c>
      <c r="B41" s="80" t="s">
        <v>145</v>
      </c>
      <c r="C41" s="83">
        <f t="shared" si="0"/>
        <v>38</v>
      </c>
      <c r="D41" s="84"/>
      <c r="E41" s="70">
        <v>0.8</v>
      </c>
      <c r="F41" s="71">
        <v>37.2</v>
      </c>
    </row>
    <row r="42" spans="1:6" ht="12.75">
      <c r="A42" s="22" t="s">
        <v>142</v>
      </c>
      <c r="B42" s="80" t="s">
        <v>147</v>
      </c>
      <c r="C42" s="83">
        <f t="shared" si="0"/>
        <v>15</v>
      </c>
      <c r="D42" s="84"/>
      <c r="E42" s="70"/>
      <c r="F42" s="71">
        <v>15</v>
      </c>
    </row>
    <row r="43" spans="1:6" ht="12.75">
      <c r="A43" s="22" t="s">
        <v>144</v>
      </c>
      <c r="B43" s="80" t="s">
        <v>149</v>
      </c>
      <c r="C43" s="83">
        <f t="shared" si="0"/>
        <v>4.5</v>
      </c>
      <c r="D43" s="85">
        <v>4.5</v>
      </c>
      <c r="E43" s="70"/>
      <c r="F43" s="71"/>
    </row>
    <row r="44" spans="1:6" ht="12.75">
      <c r="A44" s="22" t="s">
        <v>146</v>
      </c>
      <c r="B44" s="80" t="s">
        <v>151</v>
      </c>
      <c r="C44" s="83">
        <f t="shared" si="0"/>
        <v>18</v>
      </c>
      <c r="D44" s="85"/>
      <c r="E44" s="70">
        <v>3.3</v>
      </c>
      <c r="F44" s="71">
        <v>14.7</v>
      </c>
    </row>
    <row r="45" spans="1:6" ht="12.75">
      <c r="A45" s="22" t="s">
        <v>148</v>
      </c>
      <c r="B45" s="80" t="s">
        <v>153</v>
      </c>
      <c r="C45" s="83">
        <f t="shared" si="0"/>
        <v>13.5</v>
      </c>
      <c r="D45" s="85"/>
      <c r="E45" s="70"/>
      <c r="F45" s="71">
        <v>13.5</v>
      </c>
    </row>
    <row r="46" spans="1:6" ht="12.75">
      <c r="A46" s="22" t="s">
        <v>150</v>
      </c>
      <c r="B46" s="80" t="s">
        <v>155</v>
      </c>
      <c r="C46" s="83">
        <f t="shared" si="0"/>
        <v>7.2</v>
      </c>
      <c r="D46" s="85">
        <v>7.2</v>
      </c>
      <c r="E46" s="70"/>
      <c r="F46" s="71"/>
    </row>
    <row r="47" spans="1:6" ht="12.75">
      <c r="A47" s="22" t="s">
        <v>152</v>
      </c>
      <c r="B47" s="80" t="s">
        <v>158</v>
      </c>
      <c r="C47" s="83">
        <f t="shared" si="0"/>
        <v>1.512</v>
      </c>
      <c r="D47" s="85">
        <v>1.512</v>
      </c>
      <c r="E47" s="70"/>
      <c r="F47" s="71"/>
    </row>
    <row r="48" spans="1:6" ht="12.75">
      <c r="A48" s="22" t="s">
        <v>154</v>
      </c>
      <c r="B48" s="80" t="s">
        <v>160</v>
      </c>
      <c r="C48" s="83">
        <f t="shared" si="0"/>
        <v>21</v>
      </c>
      <c r="D48" s="85"/>
      <c r="E48" s="70"/>
      <c r="F48" s="71">
        <v>21</v>
      </c>
    </row>
    <row r="49" spans="1:6" ht="12.75">
      <c r="A49" s="22" t="s">
        <v>156</v>
      </c>
      <c r="B49" s="80" t="s">
        <v>162</v>
      </c>
      <c r="C49" s="83">
        <f t="shared" si="0"/>
        <v>1.8</v>
      </c>
      <c r="D49" s="85">
        <v>1.8</v>
      </c>
      <c r="E49" s="70"/>
      <c r="F49" s="71"/>
    </row>
    <row r="50" spans="1:6" ht="12.75">
      <c r="A50" s="22" t="s">
        <v>157</v>
      </c>
      <c r="B50" s="80" t="s">
        <v>164</v>
      </c>
      <c r="C50" s="83">
        <f t="shared" si="0"/>
        <v>31</v>
      </c>
      <c r="D50" s="85"/>
      <c r="E50" s="70"/>
      <c r="F50" s="71">
        <v>31</v>
      </c>
    </row>
    <row r="51" spans="1:6" ht="12.75">
      <c r="A51" s="22" t="s">
        <v>159</v>
      </c>
      <c r="B51" s="80" t="s">
        <v>206</v>
      </c>
      <c r="C51" s="83">
        <f t="shared" si="0"/>
        <v>6.2</v>
      </c>
      <c r="D51" s="85"/>
      <c r="E51" s="70"/>
      <c r="F51" s="71">
        <v>6.2</v>
      </c>
    </row>
    <row r="52" spans="1:6" ht="12.75">
      <c r="A52" s="22" t="s">
        <v>161</v>
      </c>
      <c r="B52" s="80" t="s">
        <v>167</v>
      </c>
      <c r="C52" s="83">
        <f t="shared" si="0"/>
        <v>28.5</v>
      </c>
      <c r="D52" s="85">
        <v>27</v>
      </c>
      <c r="E52" s="70"/>
      <c r="F52" s="71">
        <v>1.5</v>
      </c>
    </row>
    <row r="53" spans="1:6" ht="12.75">
      <c r="A53" s="22" t="s">
        <v>163</v>
      </c>
      <c r="B53" s="80" t="s">
        <v>169</v>
      </c>
      <c r="C53" s="83">
        <f t="shared" si="0"/>
        <v>19.963</v>
      </c>
      <c r="D53" s="85">
        <v>16.963</v>
      </c>
      <c r="E53" s="70"/>
      <c r="F53" s="71">
        <v>3</v>
      </c>
    </row>
    <row r="54" spans="1:6" ht="12.75">
      <c r="A54" s="22" t="s">
        <v>165</v>
      </c>
      <c r="B54" s="80" t="s">
        <v>171</v>
      </c>
      <c r="C54" s="83">
        <f t="shared" si="0"/>
        <v>15</v>
      </c>
      <c r="D54" s="85"/>
      <c r="E54" s="70"/>
      <c r="F54" s="71">
        <v>15</v>
      </c>
    </row>
    <row r="55" spans="1:6" ht="12.75">
      <c r="A55" s="22" t="s">
        <v>166</v>
      </c>
      <c r="B55" s="80" t="s">
        <v>173</v>
      </c>
      <c r="C55" s="83">
        <f t="shared" si="0"/>
        <v>1</v>
      </c>
      <c r="D55" s="477"/>
      <c r="E55" s="476"/>
      <c r="F55" s="72">
        <v>1</v>
      </c>
    </row>
    <row r="56" spans="1:6" ht="12.75">
      <c r="A56" s="22" t="s">
        <v>168</v>
      </c>
      <c r="B56" s="80" t="s">
        <v>174</v>
      </c>
      <c r="C56" s="83">
        <f t="shared" si="0"/>
        <v>13.700000000000001</v>
      </c>
      <c r="D56" s="85">
        <v>11.3</v>
      </c>
      <c r="E56" s="70"/>
      <c r="F56" s="71">
        <v>2.4</v>
      </c>
    </row>
    <row r="57" spans="1:6" ht="13.5" thickBot="1">
      <c r="A57" s="86" t="s">
        <v>170</v>
      </c>
      <c r="B57" s="87" t="s">
        <v>175</v>
      </c>
      <c r="C57" s="125">
        <f t="shared" si="0"/>
        <v>3.03</v>
      </c>
      <c r="D57" s="124">
        <v>2.63</v>
      </c>
      <c r="E57" s="478"/>
      <c r="F57" s="479">
        <v>0.4</v>
      </c>
    </row>
    <row r="58" spans="1:6" ht="15" thickBot="1">
      <c r="A58" s="88" t="s">
        <v>172</v>
      </c>
      <c r="B58" s="89" t="s">
        <v>176</v>
      </c>
      <c r="C58" s="90">
        <f t="shared" si="0"/>
        <v>1032.461</v>
      </c>
      <c r="D58" s="91">
        <f>SUM(D9:D57)</f>
        <v>308.47900000000004</v>
      </c>
      <c r="E58" s="480">
        <f>SUM(E9:E57)</f>
        <v>74.25199999999998</v>
      </c>
      <c r="F58" s="92">
        <f>SUM(F9:F57)</f>
        <v>649.73</v>
      </c>
    </row>
    <row r="60" ht="14.25">
      <c r="A60" s="18"/>
    </row>
    <row r="61" ht="15">
      <c r="A61" s="19"/>
    </row>
  </sheetData>
  <sheetProtection/>
  <mergeCells count="5">
    <mergeCell ref="D7:F7"/>
    <mergeCell ref="B7:B8"/>
    <mergeCell ref="C7:C8"/>
    <mergeCell ref="A7:A8"/>
    <mergeCell ref="A2:H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164"/>
  <sheetViews>
    <sheetView zoomScalePageLayoutView="0" workbookViewId="0" topLeftCell="C127">
      <selection activeCell="R60" sqref="Q60:R60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2.5742187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9.003906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10.851562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9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544"/>
      <c r="I2" s="547"/>
      <c r="J2" s="547"/>
      <c r="K2" s="547"/>
      <c r="L2" s="547"/>
    </row>
    <row r="3" ht="15.75" hidden="1">
      <c r="H3" s="1"/>
    </row>
    <row r="4" spans="18:22" ht="12.75">
      <c r="R4" s="175" t="s">
        <v>177</v>
      </c>
      <c r="S4" s="175"/>
      <c r="T4" s="175"/>
      <c r="U4" s="175"/>
      <c r="V4" s="175"/>
    </row>
    <row r="5" spans="3:24" ht="12.75">
      <c r="C5" s="176" t="s">
        <v>330</v>
      </c>
      <c r="D5" s="548" t="s">
        <v>331</v>
      </c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122" t="s">
        <v>316</v>
      </c>
      <c r="S5" s="12"/>
      <c r="T5" s="12"/>
      <c r="U5" s="12"/>
      <c r="V5" s="12"/>
      <c r="W5" s="12"/>
      <c r="X5" s="12"/>
    </row>
    <row r="6" spans="5:22" ht="12.75">
      <c r="E6" s="550" t="s">
        <v>332</v>
      </c>
      <c r="F6" s="550"/>
      <c r="G6" s="550"/>
      <c r="H6" s="550"/>
      <c r="I6" s="550"/>
      <c r="J6" s="550"/>
      <c r="K6" s="550"/>
      <c r="R6" s="175" t="s">
        <v>333</v>
      </c>
      <c r="S6" s="175"/>
      <c r="T6" s="175"/>
      <c r="U6" s="175"/>
      <c r="V6" s="175"/>
    </row>
    <row r="7" ht="13.5" thickBot="1">
      <c r="U7" t="s">
        <v>334</v>
      </c>
    </row>
    <row r="8" spans="3:24" ht="12.75">
      <c r="C8" s="556" t="s">
        <v>3</v>
      </c>
      <c r="D8" s="559" t="s">
        <v>335</v>
      </c>
      <c r="E8" s="562" t="s">
        <v>336</v>
      </c>
      <c r="F8" s="565" t="s">
        <v>337</v>
      </c>
      <c r="G8" s="566"/>
      <c r="H8" s="566"/>
      <c r="I8" s="562" t="s">
        <v>338</v>
      </c>
      <c r="J8" s="565" t="s">
        <v>337</v>
      </c>
      <c r="K8" s="566"/>
      <c r="L8" s="569"/>
      <c r="M8" s="551" t="s">
        <v>339</v>
      </c>
      <c r="N8" s="565" t="s">
        <v>337</v>
      </c>
      <c r="O8" s="566"/>
      <c r="P8" s="566"/>
      <c r="Q8" s="562" t="s">
        <v>340</v>
      </c>
      <c r="R8" s="565" t="s">
        <v>337</v>
      </c>
      <c r="S8" s="566"/>
      <c r="T8" s="569"/>
      <c r="U8" s="562" t="s">
        <v>341</v>
      </c>
      <c r="V8" s="565" t="s">
        <v>337</v>
      </c>
      <c r="W8" s="566"/>
      <c r="X8" s="569"/>
    </row>
    <row r="9" spans="3:24" ht="12.75">
      <c r="C9" s="557"/>
      <c r="D9" s="560"/>
      <c r="E9" s="563"/>
      <c r="F9" s="567" t="s">
        <v>342</v>
      </c>
      <c r="G9" s="568"/>
      <c r="H9" s="554" t="s">
        <v>343</v>
      </c>
      <c r="I9" s="563"/>
      <c r="J9" s="567" t="s">
        <v>342</v>
      </c>
      <c r="K9" s="568"/>
      <c r="L9" s="545" t="s">
        <v>343</v>
      </c>
      <c r="M9" s="552"/>
      <c r="N9" s="567" t="s">
        <v>342</v>
      </c>
      <c r="O9" s="568"/>
      <c r="P9" s="554" t="s">
        <v>343</v>
      </c>
      <c r="Q9" s="563"/>
      <c r="R9" s="567" t="s">
        <v>342</v>
      </c>
      <c r="S9" s="568"/>
      <c r="T9" s="545" t="s">
        <v>343</v>
      </c>
      <c r="U9" s="563"/>
      <c r="V9" s="567" t="s">
        <v>342</v>
      </c>
      <c r="W9" s="568"/>
      <c r="X9" s="545" t="s">
        <v>343</v>
      </c>
    </row>
    <row r="10" spans="3:24" ht="51.75" thickBot="1">
      <c r="C10" s="558"/>
      <c r="D10" s="561"/>
      <c r="E10" s="564"/>
      <c r="F10" s="177" t="s">
        <v>336</v>
      </c>
      <c r="G10" s="177" t="s">
        <v>344</v>
      </c>
      <c r="H10" s="555"/>
      <c r="I10" s="564"/>
      <c r="J10" s="177" t="s">
        <v>336</v>
      </c>
      <c r="K10" s="177" t="s">
        <v>344</v>
      </c>
      <c r="L10" s="546"/>
      <c r="M10" s="553"/>
      <c r="N10" s="177" t="s">
        <v>336</v>
      </c>
      <c r="O10" s="177" t="s">
        <v>344</v>
      </c>
      <c r="P10" s="555"/>
      <c r="Q10" s="564"/>
      <c r="R10" s="177" t="s">
        <v>336</v>
      </c>
      <c r="S10" s="177" t="s">
        <v>344</v>
      </c>
      <c r="T10" s="546"/>
      <c r="U10" s="564"/>
      <c r="V10" s="177" t="s">
        <v>336</v>
      </c>
      <c r="W10" s="177" t="s">
        <v>344</v>
      </c>
      <c r="X10" s="546"/>
    </row>
    <row r="11" spans="3:24" ht="12.75">
      <c r="C11" s="178">
        <v>1</v>
      </c>
      <c r="D11" s="179" t="s">
        <v>345</v>
      </c>
      <c r="E11" s="180">
        <f aca="true" t="shared" si="0" ref="E11:H15">I11+M11+Q11+U11</f>
        <v>134.242</v>
      </c>
      <c r="F11" s="180">
        <f t="shared" si="0"/>
        <v>134.242</v>
      </c>
      <c r="G11" s="180">
        <f t="shared" si="0"/>
        <v>62.454</v>
      </c>
      <c r="H11" s="181"/>
      <c r="I11" s="182">
        <f>I12+I13</f>
        <v>134.242</v>
      </c>
      <c r="J11" s="183">
        <f>J12+J13</f>
        <v>134.242</v>
      </c>
      <c r="K11" s="183">
        <f>K12+K13</f>
        <v>62.454</v>
      </c>
      <c r="L11" s="184"/>
      <c r="M11" s="185"/>
      <c r="N11" s="186"/>
      <c r="O11" s="186"/>
      <c r="P11" s="181"/>
      <c r="Q11" s="187"/>
      <c r="R11" s="188"/>
      <c r="S11" s="188"/>
      <c r="T11" s="189"/>
      <c r="U11" s="190"/>
      <c r="V11" s="186"/>
      <c r="W11" s="186"/>
      <c r="X11" s="191"/>
    </row>
    <row r="12" spans="3:24" ht="12.75">
      <c r="C12" s="192">
        <v>2</v>
      </c>
      <c r="D12" s="193" t="s">
        <v>346</v>
      </c>
      <c r="E12" s="194">
        <f t="shared" si="0"/>
        <v>78.588</v>
      </c>
      <c r="F12" s="194">
        <f t="shared" si="0"/>
        <v>78.588</v>
      </c>
      <c r="G12" s="194">
        <f t="shared" si="0"/>
        <v>60</v>
      </c>
      <c r="H12" s="195"/>
      <c r="I12" s="196">
        <f>J12+L12</f>
        <v>78.588</v>
      </c>
      <c r="J12" s="197">
        <v>78.588</v>
      </c>
      <c r="K12" s="197">
        <v>60</v>
      </c>
      <c r="L12" s="198"/>
      <c r="M12" s="199"/>
      <c r="N12" s="200"/>
      <c r="O12" s="200"/>
      <c r="P12" s="195"/>
      <c r="Q12" s="201"/>
      <c r="R12" s="200"/>
      <c r="S12" s="200"/>
      <c r="T12" s="198"/>
      <c r="U12" s="201"/>
      <c r="V12" s="200"/>
      <c r="W12" s="200"/>
      <c r="X12" s="198"/>
    </row>
    <row r="13" spans="3:24" ht="12.75">
      <c r="C13" s="192">
        <v>3</v>
      </c>
      <c r="D13" s="202" t="s">
        <v>347</v>
      </c>
      <c r="E13" s="194">
        <f t="shared" si="0"/>
        <v>55.654</v>
      </c>
      <c r="F13" s="194">
        <f t="shared" si="0"/>
        <v>55.654</v>
      </c>
      <c r="G13" s="203">
        <f t="shared" si="0"/>
        <v>2.454</v>
      </c>
      <c r="H13" s="195"/>
      <c r="I13" s="196">
        <f>J13+L13</f>
        <v>55.654</v>
      </c>
      <c r="J13" s="204">
        <v>55.654</v>
      </c>
      <c r="K13" s="197">
        <v>2.454</v>
      </c>
      <c r="L13" s="198"/>
      <c r="M13" s="199"/>
      <c r="N13" s="200"/>
      <c r="O13" s="200"/>
      <c r="P13" s="195"/>
      <c r="Q13" s="201"/>
      <c r="R13" s="200"/>
      <c r="S13" s="200"/>
      <c r="T13" s="198"/>
      <c r="U13" s="201"/>
      <c r="V13" s="200"/>
      <c r="W13" s="200"/>
      <c r="X13" s="198"/>
    </row>
    <row r="14" spans="3:24" ht="12.75">
      <c r="C14" s="205">
        <v>4</v>
      </c>
      <c r="D14" s="206" t="s">
        <v>348</v>
      </c>
      <c r="E14" s="207">
        <f>SUM(E15:E18)</f>
        <v>1869.57</v>
      </c>
      <c r="F14" s="208">
        <f t="shared" si="0"/>
        <v>1849.5700000000002</v>
      </c>
      <c r="G14" s="209">
        <f t="shared" si="0"/>
        <v>1243.365</v>
      </c>
      <c r="H14" s="210">
        <f t="shared" si="0"/>
        <v>20</v>
      </c>
      <c r="I14" s="211">
        <f aca="true" t="shared" si="1" ref="I14:O14">SUM(I15:I18)</f>
        <v>1370.221</v>
      </c>
      <c r="J14" s="209">
        <f t="shared" si="1"/>
        <v>1350.221</v>
      </c>
      <c r="K14" s="209">
        <f t="shared" si="1"/>
        <v>905.842</v>
      </c>
      <c r="L14" s="212">
        <f t="shared" si="1"/>
        <v>20</v>
      </c>
      <c r="M14" s="207">
        <f t="shared" si="1"/>
        <v>499.34900000000005</v>
      </c>
      <c r="N14" s="209">
        <f t="shared" si="1"/>
        <v>499.34900000000005</v>
      </c>
      <c r="O14" s="209">
        <f t="shared" si="1"/>
        <v>337.523</v>
      </c>
      <c r="P14" s="210"/>
      <c r="Q14" s="211"/>
      <c r="R14" s="209"/>
      <c r="S14" s="209"/>
      <c r="T14" s="212"/>
      <c r="U14" s="211"/>
      <c r="V14" s="209"/>
      <c r="W14" s="209"/>
      <c r="X14" s="212"/>
    </row>
    <row r="15" spans="3:24" ht="12.75">
      <c r="C15" s="205">
        <f>+C14+1</f>
        <v>5</v>
      </c>
      <c r="D15" s="202" t="s">
        <v>178</v>
      </c>
      <c r="E15" s="194">
        <f aca="true" t="shared" si="2" ref="E15:G45">I15+M15+Q15+U15</f>
        <v>1623.97</v>
      </c>
      <c r="F15" s="213">
        <f t="shared" si="0"/>
        <v>1603.97</v>
      </c>
      <c r="G15" s="203">
        <f t="shared" si="0"/>
        <v>1110.062</v>
      </c>
      <c r="H15" s="214">
        <f t="shared" si="0"/>
        <v>20</v>
      </c>
      <c r="I15" s="196">
        <f>J15+L15</f>
        <v>1299.221</v>
      </c>
      <c r="J15" s="203">
        <f>1316.121-36.9</f>
        <v>1279.221</v>
      </c>
      <c r="K15" s="215">
        <f>919.342-13.5</f>
        <v>905.842</v>
      </c>
      <c r="L15" s="216">
        <v>20</v>
      </c>
      <c r="M15" s="194">
        <f>N15+P15</f>
        <v>324.749</v>
      </c>
      <c r="N15" s="203">
        <v>324.749</v>
      </c>
      <c r="O15" s="215">
        <v>204.22</v>
      </c>
      <c r="P15" s="214"/>
      <c r="Q15" s="196"/>
      <c r="R15" s="203"/>
      <c r="S15" s="203"/>
      <c r="T15" s="216"/>
      <c r="U15" s="196"/>
      <c r="V15" s="203"/>
      <c r="W15" s="203"/>
      <c r="X15" s="216"/>
    </row>
    <row r="16" spans="3:24" ht="12.75">
      <c r="C16" s="205">
        <v>6</v>
      </c>
      <c r="D16" s="217" t="s">
        <v>349</v>
      </c>
      <c r="E16" s="194">
        <f t="shared" si="2"/>
        <v>70</v>
      </c>
      <c r="F16" s="213">
        <f>J16+N16+R16+V16</f>
        <v>70</v>
      </c>
      <c r="G16" s="203"/>
      <c r="H16" s="214"/>
      <c r="I16" s="196">
        <f>J16+L16</f>
        <v>70</v>
      </c>
      <c r="J16" s="203">
        <v>70</v>
      </c>
      <c r="K16" s="203"/>
      <c r="L16" s="216"/>
      <c r="M16" s="194"/>
      <c r="N16" s="203"/>
      <c r="O16" s="203"/>
      <c r="P16" s="214"/>
      <c r="Q16" s="196"/>
      <c r="R16" s="203"/>
      <c r="S16" s="203"/>
      <c r="T16" s="216"/>
      <c r="U16" s="196"/>
      <c r="V16" s="203"/>
      <c r="W16" s="203"/>
      <c r="X16" s="216"/>
    </row>
    <row r="17" spans="3:24" ht="12.75">
      <c r="C17" s="205">
        <f>+C16+1</f>
        <v>7</v>
      </c>
      <c r="D17" s="217" t="s">
        <v>350</v>
      </c>
      <c r="E17" s="194">
        <f t="shared" si="2"/>
        <v>1</v>
      </c>
      <c r="F17" s="213">
        <f>J17+N17+R17+V17</f>
        <v>1</v>
      </c>
      <c r="G17" s="203"/>
      <c r="H17" s="214"/>
      <c r="I17" s="196">
        <f>J17+L17</f>
        <v>1</v>
      </c>
      <c r="J17" s="203">
        <v>1</v>
      </c>
      <c r="K17" s="203"/>
      <c r="L17" s="216"/>
      <c r="M17" s="194"/>
      <c r="N17" s="203"/>
      <c r="O17" s="203"/>
      <c r="P17" s="214"/>
      <c r="Q17" s="196"/>
      <c r="R17" s="203"/>
      <c r="S17" s="203"/>
      <c r="T17" s="216"/>
      <c r="U17" s="196"/>
      <c r="V17" s="203"/>
      <c r="W17" s="203"/>
      <c r="X17" s="216"/>
    </row>
    <row r="18" spans="3:24" ht="12.75">
      <c r="C18" s="205">
        <f>+C17+1</f>
        <v>8</v>
      </c>
      <c r="D18" s="217" t="s">
        <v>351</v>
      </c>
      <c r="E18" s="194">
        <f t="shared" si="2"/>
        <v>174.6</v>
      </c>
      <c r="F18" s="213">
        <f>J18+N18+R18+V18</f>
        <v>174.6</v>
      </c>
      <c r="G18" s="203">
        <f>K18+O18+S18+W18</f>
        <v>133.303</v>
      </c>
      <c r="H18" s="214"/>
      <c r="I18" s="196"/>
      <c r="J18" s="203"/>
      <c r="K18" s="203"/>
      <c r="L18" s="216"/>
      <c r="M18" s="194">
        <f>N18+P18</f>
        <v>174.6</v>
      </c>
      <c r="N18" s="203">
        <v>174.6</v>
      </c>
      <c r="O18" s="215">
        <v>133.303</v>
      </c>
      <c r="P18" s="214"/>
      <c r="Q18" s="196"/>
      <c r="R18" s="203"/>
      <c r="S18" s="203"/>
      <c r="T18" s="216"/>
      <c r="U18" s="196"/>
      <c r="V18" s="203"/>
      <c r="W18" s="203"/>
      <c r="X18" s="216"/>
    </row>
    <row r="19" spans="3:24" ht="12.75">
      <c r="C19" s="205">
        <v>9</v>
      </c>
      <c r="D19" s="206" t="s">
        <v>352</v>
      </c>
      <c r="E19" s="207">
        <f t="shared" si="2"/>
        <v>34.969</v>
      </c>
      <c r="F19" s="208">
        <f>J19+N19+R19+V19</f>
        <v>34.969</v>
      </c>
      <c r="G19" s="209">
        <f>K19+O19+S19+W19</f>
        <v>25.889999999999997</v>
      </c>
      <c r="H19" s="210"/>
      <c r="I19" s="211">
        <f aca="true" t="shared" si="3" ref="I19:I25">J19+L19</f>
        <v>34.969</v>
      </c>
      <c r="J19" s="209">
        <f>35.369-0.4</f>
        <v>34.969</v>
      </c>
      <c r="K19" s="218">
        <f>25.99-0.1</f>
        <v>25.889999999999997</v>
      </c>
      <c r="L19" s="212"/>
      <c r="M19" s="194"/>
      <c r="N19" s="203"/>
      <c r="O19" s="203"/>
      <c r="P19" s="214"/>
      <c r="Q19" s="196"/>
      <c r="R19" s="203"/>
      <c r="S19" s="203"/>
      <c r="T19" s="216"/>
      <c r="U19" s="196"/>
      <c r="V19" s="203"/>
      <c r="W19" s="203"/>
      <c r="X19" s="216"/>
    </row>
    <row r="20" spans="3:24" ht="25.5">
      <c r="C20" s="219">
        <v>10</v>
      </c>
      <c r="D20" s="220" t="s">
        <v>353</v>
      </c>
      <c r="E20" s="207">
        <f t="shared" si="2"/>
        <v>2850.8999999999996</v>
      </c>
      <c r="F20" s="208">
        <f t="shared" si="2"/>
        <v>2798.2</v>
      </c>
      <c r="G20" s="208">
        <f t="shared" si="2"/>
        <v>40.923</v>
      </c>
      <c r="H20" s="210">
        <f>SUM(H21:H36)</f>
        <v>52.7</v>
      </c>
      <c r="I20" s="211">
        <f>J20+L20</f>
        <v>2375.2999999999997</v>
      </c>
      <c r="J20" s="209">
        <f>SUM(J21:J37)</f>
        <v>2322.6</v>
      </c>
      <c r="K20" s="209"/>
      <c r="L20" s="212">
        <f>SUM(L21:L36)</f>
        <v>52.7</v>
      </c>
      <c r="M20" s="207">
        <f>N20+P20</f>
        <v>475.6</v>
      </c>
      <c r="N20" s="209">
        <f>SUM(N21:N33)</f>
        <v>475.6</v>
      </c>
      <c r="O20" s="209">
        <f>SUM(O21:O33)</f>
        <v>40.923</v>
      </c>
      <c r="P20" s="210"/>
      <c r="Q20" s="211"/>
      <c r="R20" s="209"/>
      <c r="S20" s="209"/>
      <c r="T20" s="212"/>
      <c r="U20" s="211"/>
      <c r="V20" s="209"/>
      <c r="W20" s="203"/>
      <c r="X20" s="216"/>
    </row>
    <row r="21" spans="3:24" ht="12.75">
      <c r="C21" s="205">
        <f aca="true" t="shared" si="4" ref="C21:C26">+C20+1</f>
        <v>11</v>
      </c>
      <c r="D21" s="221" t="s">
        <v>354</v>
      </c>
      <c r="E21" s="194">
        <f t="shared" si="2"/>
        <v>1688.4</v>
      </c>
      <c r="F21" s="213">
        <f t="shared" si="2"/>
        <v>1688.4</v>
      </c>
      <c r="G21" s="203"/>
      <c r="H21" s="214"/>
      <c r="I21" s="196">
        <f t="shared" si="3"/>
        <v>1688.4</v>
      </c>
      <c r="J21" s="203">
        <f>1850-122.6-39</f>
        <v>1688.4</v>
      </c>
      <c r="K21" s="203"/>
      <c r="L21" s="216"/>
      <c r="M21" s="194"/>
      <c r="N21" s="203"/>
      <c r="O21" s="203"/>
      <c r="P21" s="214"/>
      <c r="Q21" s="196"/>
      <c r="R21" s="203"/>
      <c r="S21" s="203"/>
      <c r="T21" s="216"/>
      <c r="U21" s="196"/>
      <c r="V21" s="203"/>
      <c r="W21" s="203"/>
      <c r="X21" s="216"/>
    </row>
    <row r="22" spans="3:24" ht="12.75">
      <c r="C22" s="205">
        <f t="shared" si="4"/>
        <v>12</v>
      </c>
      <c r="D22" s="221" t="s">
        <v>355</v>
      </c>
      <c r="E22" s="194">
        <f t="shared" si="2"/>
        <v>25</v>
      </c>
      <c r="F22" s="213">
        <f t="shared" si="2"/>
        <v>25</v>
      </c>
      <c r="G22" s="203"/>
      <c r="H22" s="214"/>
      <c r="I22" s="196">
        <f t="shared" si="3"/>
        <v>25</v>
      </c>
      <c r="J22" s="203">
        <v>25</v>
      </c>
      <c r="K22" s="203"/>
      <c r="L22" s="216"/>
      <c r="M22" s="194"/>
      <c r="N22" s="203"/>
      <c r="O22" s="203"/>
      <c r="P22" s="214"/>
      <c r="Q22" s="196"/>
      <c r="R22" s="203"/>
      <c r="S22" s="203"/>
      <c r="T22" s="216"/>
      <c r="U22" s="196"/>
      <c r="V22" s="203"/>
      <c r="W22" s="203"/>
      <c r="X22" s="216"/>
    </row>
    <row r="23" spans="3:24" ht="12.75">
      <c r="C23" s="205">
        <f t="shared" si="4"/>
        <v>13</v>
      </c>
      <c r="D23" s="221" t="s">
        <v>356</v>
      </c>
      <c r="E23" s="194">
        <f t="shared" si="2"/>
        <v>55</v>
      </c>
      <c r="F23" s="213">
        <f t="shared" si="2"/>
        <v>55</v>
      </c>
      <c r="G23" s="203"/>
      <c r="H23" s="214"/>
      <c r="I23" s="196">
        <f t="shared" si="3"/>
        <v>55</v>
      </c>
      <c r="J23" s="203">
        <v>55</v>
      </c>
      <c r="K23" s="203"/>
      <c r="L23" s="216"/>
      <c r="M23" s="194"/>
      <c r="N23" s="203"/>
      <c r="O23" s="203"/>
      <c r="P23" s="214"/>
      <c r="Q23" s="196"/>
      <c r="R23" s="203"/>
      <c r="S23" s="203"/>
      <c r="T23" s="216"/>
      <c r="U23" s="196"/>
      <c r="V23" s="203"/>
      <c r="W23" s="203"/>
      <c r="X23" s="216"/>
    </row>
    <row r="24" spans="3:24" ht="12.75">
      <c r="C24" s="205">
        <f t="shared" si="4"/>
        <v>14</v>
      </c>
      <c r="D24" s="221" t="s">
        <v>357</v>
      </c>
      <c r="E24" s="194">
        <f t="shared" si="2"/>
        <v>3</v>
      </c>
      <c r="F24" s="213">
        <f t="shared" si="2"/>
        <v>3</v>
      </c>
      <c r="G24" s="203"/>
      <c r="H24" s="214"/>
      <c r="I24" s="196">
        <f t="shared" si="3"/>
        <v>3</v>
      </c>
      <c r="J24" s="203">
        <v>3</v>
      </c>
      <c r="K24" s="203"/>
      <c r="L24" s="216"/>
      <c r="M24" s="194"/>
      <c r="N24" s="203"/>
      <c r="O24" s="203"/>
      <c r="P24" s="214"/>
      <c r="Q24" s="196"/>
      <c r="R24" s="203"/>
      <c r="S24" s="203"/>
      <c r="T24" s="216"/>
      <c r="U24" s="196"/>
      <c r="V24" s="203"/>
      <c r="W24" s="203"/>
      <c r="X24" s="216"/>
    </row>
    <row r="25" spans="3:24" ht="12.75">
      <c r="C25" s="219">
        <f t="shared" si="4"/>
        <v>15</v>
      </c>
      <c r="D25" s="221" t="s">
        <v>358</v>
      </c>
      <c r="E25" s="194">
        <f t="shared" si="2"/>
        <v>260</v>
      </c>
      <c r="F25" s="213">
        <f t="shared" si="2"/>
        <v>260</v>
      </c>
      <c r="G25" s="203"/>
      <c r="H25" s="214"/>
      <c r="I25" s="196">
        <f t="shared" si="3"/>
        <v>260</v>
      </c>
      <c r="J25" s="203">
        <v>260</v>
      </c>
      <c r="K25" s="203"/>
      <c r="L25" s="216"/>
      <c r="M25" s="194"/>
      <c r="N25" s="203"/>
      <c r="O25" s="203"/>
      <c r="P25" s="214"/>
      <c r="Q25" s="196"/>
      <c r="R25" s="203"/>
      <c r="S25" s="203"/>
      <c r="T25" s="216"/>
      <c r="U25" s="196"/>
      <c r="V25" s="203"/>
      <c r="W25" s="203"/>
      <c r="X25" s="216"/>
    </row>
    <row r="26" spans="3:24" ht="12.75">
      <c r="C26" s="219">
        <f t="shared" si="4"/>
        <v>16</v>
      </c>
      <c r="D26" s="221" t="s">
        <v>87</v>
      </c>
      <c r="E26" s="194">
        <f t="shared" si="2"/>
        <v>279</v>
      </c>
      <c r="F26" s="213">
        <f t="shared" si="2"/>
        <v>279</v>
      </c>
      <c r="G26" s="203"/>
      <c r="H26" s="214"/>
      <c r="I26" s="196"/>
      <c r="J26" s="203"/>
      <c r="K26" s="203"/>
      <c r="L26" s="216"/>
      <c r="M26" s="194">
        <f>N26+P26</f>
        <v>279</v>
      </c>
      <c r="N26" s="203">
        <v>279</v>
      </c>
      <c r="O26" s="203"/>
      <c r="P26" s="214"/>
      <c r="Q26" s="196"/>
      <c r="R26" s="203"/>
      <c r="S26" s="203"/>
      <c r="T26" s="216"/>
      <c r="U26" s="196"/>
      <c r="V26" s="203"/>
      <c r="W26" s="203"/>
      <c r="X26" s="216"/>
    </row>
    <row r="27" spans="3:24" ht="12.75">
      <c r="C27" s="219">
        <v>17</v>
      </c>
      <c r="D27" s="221" t="s">
        <v>359</v>
      </c>
      <c r="E27" s="194">
        <f t="shared" si="2"/>
        <v>3.2</v>
      </c>
      <c r="F27" s="213">
        <f t="shared" si="2"/>
        <v>3.2</v>
      </c>
      <c r="G27" s="203"/>
      <c r="H27" s="214"/>
      <c r="I27" s="196"/>
      <c r="J27" s="203"/>
      <c r="K27" s="203"/>
      <c r="L27" s="216"/>
      <c r="M27" s="194">
        <f>N27+P27</f>
        <v>3.2</v>
      </c>
      <c r="N27" s="203">
        <v>3.2</v>
      </c>
      <c r="O27" s="203"/>
      <c r="P27" s="214"/>
      <c r="Q27" s="196"/>
      <c r="R27" s="203"/>
      <c r="S27" s="203"/>
      <c r="T27" s="216"/>
      <c r="U27" s="196"/>
      <c r="V27" s="203"/>
      <c r="W27" s="203"/>
      <c r="X27" s="216"/>
    </row>
    <row r="28" spans="3:24" ht="12.75">
      <c r="C28" s="219">
        <v>18</v>
      </c>
      <c r="D28" s="221" t="s">
        <v>360</v>
      </c>
      <c r="E28" s="194">
        <f t="shared" si="2"/>
        <v>139.8</v>
      </c>
      <c r="F28" s="213">
        <f t="shared" si="2"/>
        <v>139.8</v>
      </c>
      <c r="G28" s="203"/>
      <c r="H28" s="214"/>
      <c r="I28" s="196"/>
      <c r="J28" s="203"/>
      <c r="K28" s="203"/>
      <c r="L28" s="216"/>
      <c r="M28" s="194">
        <f>N28+P28</f>
        <v>139.8</v>
      </c>
      <c r="N28" s="203">
        <v>139.8</v>
      </c>
      <c r="O28" s="203"/>
      <c r="P28" s="214"/>
      <c r="Q28" s="196"/>
      <c r="R28" s="203"/>
      <c r="S28" s="203"/>
      <c r="T28" s="216"/>
      <c r="U28" s="196"/>
      <c r="V28" s="203"/>
      <c r="W28" s="203"/>
      <c r="X28" s="216"/>
    </row>
    <row r="29" spans="3:24" ht="12.75">
      <c r="C29" s="219">
        <v>19</v>
      </c>
      <c r="D29" s="221" t="s">
        <v>361</v>
      </c>
      <c r="E29" s="194">
        <f t="shared" si="2"/>
        <v>50</v>
      </c>
      <c r="F29" s="213">
        <f t="shared" si="2"/>
        <v>50</v>
      </c>
      <c r="G29" s="213">
        <f t="shared" si="2"/>
        <v>38.174</v>
      </c>
      <c r="H29" s="214"/>
      <c r="I29" s="196"/>
      <c r="J29" s="203"/>
      <c r="K29" s="203"/>
      <c r="L29" s="216"/>
      <c r="M29" s="194">
        <f>N29+P29</f>
        <v>50</v>
      </c>
      <c r="N29" s="203">
        <v>50</v>
      </c>
      <c r="O29" s="203">
        <v>38.174</v>
      </c>
      <c r="P29" s="214"/>
      <c r="Q29" s="196"/>
      <c r="R29" s="203"/>
      <c r="S29" s="203"/>
      <c r="T29" s="216"/>
      <c r="U29" s="196"/>
      <c r="V29" s="203"/>
      <c r="W29" s="203"/>
      <c r="X29" s="216"/>
    </row>
    <row r="30" spans="3:24" ht="12.75">
      <c r="C30" s="219">
        <v>20</v>
      </c>
      <c r="D30" s="221" t="s">
        <v>362</v>
      </c>
      <c r="E30" s="194">
        <f t="shared" si="2"/>
        <v>244.2</v>
      </c>
      <c r="F30" s="213">
        <f t="shared" si="2"/>
        <v>244.2</v>
      </c>
      <c r="G30" s="203"/>
      <c r="H30" s="214"/>
      <c r="I30" s="196">
        <f>J30+L30</f>
        <v>244.2</v>
      </c>
      <c r="J30" s="203">
        <f>250-5.8</f>
        <v>244.2</v>
      </c>
      <c r="K30" s="203"/>
      <c r="L30" s="216"/>
      <c r="M30" s="194"/>
      <c r="N30" s="203"/>
      <c r="O30" s="203"/>
      <c r="P30" s="214"/>
      <c r="Q30" s="196"/>
      <c r="R30" s="203"/>
      <c r="S30" s="203"/>
      <c r="T30" s="216"/>
      <c r="U30" s="196"/>
      <c r="V30" s="203"/>
      <c r="W30" s="203"/>
      <c r="X30" s="216"/>
    </row>
    <row r="31" spans="3:24" ht="25.5">
      <c r="C31" s="219">
        <v>21</v>
      </c>
      <c r="D31" s="222" t="s">
        <v>363</v>
      </c>
      <c r="E31" s="194">
        <f t="shared" si="2"/>
        <v>10</v>
      </c>
      <c r="F31" s="213">
        <f t="shared" si="2"/>
        <v>10</v>
      </c>
      <c r="G31" s="203"/>
      <c r="H31" s="214"/>
      <c r="I31" s="196">
        <f>J31+L31</f>
        <v>10</v>
      </c>
      <c r="J31" s="203">
        <f>5+5</f>
        <v>10</v>
      </c>
      <c r="K31" s="203"/>
      <c r="L31" s="216"/>
      <c r="M31" s="194"/>
      <c r="N31" s="203"/>
      <c r="O31" s="203"/>
      <c r="P31" s="214"/>
      <c r="Q31" s="196"/>
      <c r="R31" s="203"/>
      <c r="S31" s="203"/>
      <c r="T31" s="216"/>
      <c r="U31" s="196"/>
      <c r="V31" s="203"/>
      <c r="W31" s="203"/>
      <c r="X31" s="216"/>
    </row>
    <row r="32" spans="3:24" ht="12.75">
      <c r="C32" s="219">
        <v>22</v>
      </c>
      <c r="D32" s="222" t="s">
        <v>308</v>
      </c>
      <c r="E32" s="194">
        <f t="shared" si="2"/>
        <v>3.6</v>
      </c>
      <c r="F32" s="213">
        <f t="shared" si="2"/>
        <v>3.6</v>
      </c>
      <c r="G32" s="213">
        <f t="shared" si="2"/>
        <v>2.749</v>
      </c>
      <c r="H32" s="214"/>
      <c r="I32" s="196"/>
      <c r="J32" s="203"/>
      <c r="K32" s="203"/>
      <c r="L32" s="216"/>
      <c r="M32" s="194">
        <f>N32+P32</f>
        <v>3.6</v>
      </c>
      <c r="N32" s="203">
        <v>3.6</v>
      </c>
      <c r="O32" s="203">
        <v>2.749</v>
      </c>
      <c r="P32" s="214"/>
      <c r="Q32" s="196"/>
      <c r="R32" s="203"/>
      <c r="S32" s="203"/>
      <c r="T32" s="216"/>
      <c r="U32" s="196"/>
      <c r="V32" s="203"/>
      <c r="W32" s="203"/>
      <c r="X32" s="216"/>
    </row>
    <row r="33" spans="3:24" ht="25.5">
      <c r="C33" s="219">
        <v>23</v>
      </c>
      <c r="D33" s="221" t="s">
        <v>364</v>
      </c>
      <c r="E33" s="194">
        <f t="shared" si="2"/>
        <v>28.7</v>
      </c>
      <c r="F33" s="223"/>
      <c r="G33" s="203"/>
      <c r="H33" s="214">
        <f>L33++P33+T33+X33</f>
        <v>28.7</v>
      </c>
      <c r="I33" s="196">
        <f aca="true" t="shared" si="5" ref="I33:I55">J33+L33</f>
        <v>28.7</v>
      </c>
      <c r="J33" s="203"/>
      <c r="K33" s="203"/>
      <c r="L33" s="216">
        <v>28.7</v>
      </c>
      <c r="M33" s="194"/>
      <c r="N33" s="203"/>
      <c r="O33" s="203"/>
      <c r="P33" s="214"/>
      <c r="Q33" s="196"/>
      <c r="R33" s="203"/>
      <c r="S33" s="203"/>
      <c r="T33" s="216"/>
      <c r="U33" s="196"/>
      <c r="V33" s="203"/>
      <c r="W33" s="203"/>
      <c r="X33" s="216"/>
    </row>
    <row r="34" spans="3:24" ht="12.75">
      <c r="C34" s="219">
        <v>24</v>
      </c>
      <c r="D34" s="224" t="s">
        <v>365</v>
      </c>
      <c r="E34" s="194">
        <f t="shared" si="2"/>
        <v>16</v>
      </c>
      <c r="F34" s="213">
        <f t="shared" si="2"/>
        <v>16</v>
      </c>
      <c r="G34" s="203"/>
      <c r="H34" s="214"/>
      <c r="I34" s="196">
        <f t="shared" si="5"/>
        <v>16</v>
      </c>
      <c r="J34" s="203">
        <v>16</v>
      </c>
      <c r="K34" s="203"/>
      <c r="L34" s="216"/>
      <c r="M34" s="194"/>
      <c r="N34" s="203"/>
      <c r="O34" s="203"/>
      <c r="P34" s="214"/>
      <c r="Q34" s="196"/>
      <c r="R34" s="203"/>
      <c r="S34" s="203"/>
      <c r="T34" s="216"/>
      <c r="U34" s="196"/>
      <c r="V34" s="203"/>
      <c r="W34" s="203"/>
      <c r="X34" s="216"/>
    </row>
    <row r="35" spans="3:24" ht="25.5">
      <c r="C35" s="219">
        <v>25</v>
      </c>
      <c r="D35" s="225" t="s">
        <v>366</v>
      </c>
      <c r="E35" s="194">
        <f t="shared" si="2"/>
        <v>24</v>
      </c>
      <c r="F35" s="223"/>
      <c r="G35" s="223"/>
      <c r="H35" s="226">
        <f>L35+P35+T35+X35</f>
        <v>24</v>
      </c>
      <c r="I35" s="196">
        <f t="shared" si="5"/>
        <v>24</v>
      </c>
      <c r="J35" s="203"/>
      <c r="K35" s="203"/>
      <c r="L35" s="216">
        <v>24</v>
      </c>
      <c r="M35" s="194"/>
      <c r="N35" s="203"/>
      <c r="O35" s="203"/>
      <c r="P35" s="214"/>
      <c r="Q35" s="196"/>
      <c r="R35" s="203"/>
      <c r="S35" s="203"/>
      <c r="T35" s="216"/>
      <c r="U35" s="196"/>
      <c r="V35" s="203"/>
      <c r="W35" s="203"/>
      <c r="X35" s="216"/>
    </row>
    <row r="36" spans="3:24" ht="12.75">
      <c r="C36" s="219">
        <v>26</v>
      </c>
      <c r="D36" s="225" t="s">
        <v>367</v>
      </c>
      <c r="E36" s="194">
        <f t="shared" si="2"/>
        <v>1</v>
      </c>
      <c r="F36" s="223">
        <f t="shared" si="2"/>
        <v>1</v>
      </c>
      <c r="G36" s="203"/>
      <c r="H36" s="214"/>
      <c r="I36" s="196">
        <f t="shared" si="5"/>
        <v>1</v>
      </c>
      <c r="J36" s="203">
        <v>1</v>
      </c>
      <c r="K36" s="203"/>
      <c r="L36" s="216"/>
      <c r="M36" s="194"/>
      <c r="N36" s="203"/>
      <c r="O36" s="203"/>
      <c r="P36" s="214"/>
      <c r="Q36" s="196"/>
      <c r="R36" s="203"/>
      <c r="S36" s="203"/>
      <c r="T36" s="216"/>
      <c r="U36" s="196"/>
      <c r="V36" s="203"/>
      <c r="W36" s="203"/>
      <c r="X36" s="216"/>
    </row>
    <row r="37" spans="3:24" ht="25.5">
      <c r="C37" s="219">
        <v>27</v>
      </c>
      <c r="D37" s="225" t="s">
        <v>625</v>
      </c>
      <c r="E37" s="194">
        <f t="shared" si="2"/>
        <v>20</v>
      </c>
      <c r="F37" s="223">
        <f t="shared" si="2"/>
        <v>20</v>
      </c>
      <c r="G37" s="203"/>
      <c r="H37" s="214"/>
      <c r="I37" s="196">
        <f t="shared" si="5"/>
        <v>20</v>
      </c>
      <c r="J37" s="203">
        <v>20</v>
      </c>
      <c r="K37" s="203"/>
      <c r="L37" s="216"/>
      <c r="M37" s="194"/>
      <c r="N37" s="203"/>
      <c r="O37" s="203"/>
      <c r="P37" s="214"/>
      <c r="Q37" s="196"/>
      <c r="R37" s="203"/>
      <c r="S37" s="203"/>
      <c r="T37" s="216"/>
      <c r="U37" s="196"/>
      <c r="V37" s="203"/>
      <c r="W37" s="203"/>
      <c r="X37" s="216"/>
    </row>
    <row r="38" spans="3:24" ht="12.75">
      <c r="C38" s="219">
        <v>28</v>
      </c>
      <c r="D38" s="227" t="s">
        <v>368</v>
      </c>
      <c r="E38" s="207">
        <f t="shared" si="2"/>
        <v>0.29</v>
      </c>
      <c r="F38" s="228">
        <f t="shared" si="2"/>
        <v>0.29</v>
      </c>
      <c r="G38" s="209"/>
      <c r="H38" s="210"/>
      <c r="I38" s="211">
        <f t="shared" si="5"/>
        <v>0.29</v>
      </c>
      <c r="J38" s="209">
        <f>J39</f>
        <v>0.29</v>
      </c>
      <c r="K38" s="203"/>
      <c r="L38" s="216"/>
      <c r="M38" s="194"/>
      <c r="N38" s="203"/>
      <c r="O38" s="203"/>
      <c r="P38" s="214"/>
      <c r="Q38" s="196"/>
      <c r="R38" s="203"/>
      <c r="S38" s="203"/>
      <c r="T38" s="216"/>
      <c r="U38" s="196"/>
      <c r="V38" s="203"/>
      <c r="W38" s="203"/>
      <c r="X38" s="216"/>
    </row>
    <row r="39" spans="3:24" ht="12.75">
      <c r="C39" s="219">
        <v>29</v>
      </c>
      <c r="D39" s="229" t="s">
        <v>369</v>
      </c>
      <c r="E39" s="194">
        <f t="shared" si="2"/>
        <v>0.29</v>
      </c>
      <c r="F39" s="223">
        <f t="shared" si="2"/>
        <v>0.29</v>
      </c>
      <c r="G39" s="203"/>
      <c r="H39" s="214"/>
      <c r="I39" s="196">
        <f t="shared" si="5"/>
        <v>0.29</v>
      </c>
      <c r="J39" s="203">
        <v>0.29</v>
      </c>
      <c r="K39" s="203"/>
      <c r="L39" s="216"/>
      <c r="M39" s="194"/>
      <c r="N39" s="203"/>
      <c r="O39" s="203"/>
      <c r="P39" s="214"/>
      <c r="Q39" s="196"/>
      <c r="R39" s="203"/>
      <c r="S39" s="203"/>
      <c r="T39" s="216"/>
      <c r="U39" s="196"/>
      <c r="V39" s="203"/>
      <c r="W39" s="203"/>
      <c r="X39" s="216"/>
    </row>
    <row r="40" spans="3:24" ht="25.5">
      <c r="C40" s="219">
        <v>30</v>
      </c>
      <c r="D40" s="230" t="s">
        <v>370</v>
      </c>
      <c r="E40" s="207">
        <f t="shared" si="2"/>
        <v>68</v>
      </c>
      <c r="F40" s="228">
        <f t="shared" si="2"/>
        <v>68</v>
      </c>
      <c r="G40" s="209"/>
      <c r="H40" s="210"/>
      <c r="I40" s="211">
        <f t="shared" si="5"/>
        <v>68</v>
      </c>
      <c r="J40" s="209">
        <f>SUM(J41:J50)-J44-J45</f>
        <v>68</v>
      </c>
      <c r="K40" s="209"/>
      <c r="L40" s="216"/>
      <c r="M40" s="194"/>
      <c r="N40" s="203"/>
      <c r="O40" s="203"/>
      <c r="P40" s="214"/>
      <c r="Q40" s="196"/>
      <c r="R40" s="203"/>
      <c r="S40" s="203"/>
      <c r="T40" s="216"/>
      <c r="U40" s="196"/>
      <c r="V40" s="203"/>
      <c r="W40" s="203"/>
      <c r="X40" s="216"/>
    </row>
    <row r="41" spans="3:24" ht="12.75">
      <c r="C41" s="219">
        <f>+C40+1</f>
        <v>31</v>
      </c>
      <c r="D41" s="221" t="s">
        <v>371</v>
      </c>
      <c r="E41" s="194">
        <f t="shared" si="2"/>
        <v>14</v>
      </c>
      <c r="F41" s="223">
        <f t="shared" si="2"/>
        <v>14</v>
      </c>
      <c r="G41" s="203"/>
      <c r="H41" s="214"/>
      <c r="I41" s="196">
        <f t="shared" si="5"/>
        <v>14</v>
      </c>
      <c r="J41" s="203">
        <v>14</v>
      </c>
      <c r="K41" s="203"/>
      <c r="L41" s="216"/>
      <c r="M41" s="194"/>
      <c r="N41" s="203"/>
      <c r="O41" s="203"/>
      <c r="P41" s="214"/>
      <c r="Q41" s="196"/>
      <c r="R41" s="203"/>
      <c r="S41" s="203"/>
      <c r="T41" s="216"/>
      <c r="U41" s="196"/>
      <c r="V41" s="203"/>
      <c r="W41" s="203"/>
      <c r="X41" s="216"/>
    </row>
    <row r="42" spans="3:24" ht="12.75">
      <c r="C42" s="219">
        <f>+C41+1</f>
        <v>32</v>
      </c>
      <c r="D42" s="221" t="s">
        <v>372</v>
      </c>
      <c r="E42" s="194">
        <f t="shared" si="2"/>
        <v>18</v>
      </c>
      <c r="F42" s="223">
        <f t="shared" si="2"/>
        <v>18</v>
      </c>
      <c r="G42" s="203"/>
      <c r="H42" s="214"/>
      <c r="I42" s="196">
        <f t="shared" si="5"/>
        <v>18</v>
      </c>
      <c r="J42" s="203">
        <v>18</v>
      </c>
      <c r="K42" s="203"/>
      <c r="L42" s="216"/>
      <c r="M42" s="194"/>
      <c r="N42" s="203"/>
      <c r="O42" s="203"/>
      <c r="P42" s="214"/>
      <c r="Q42" s="196"/>
      <c r="R42" s="203"/>
      <c r="S42" s="203"/>
      <c r="T42" s="216"/>
      <c r="U42" s="196"/>
      <c r="V42" s="203"/>
      <c r="W42" s="203"/>
      <c r="X42" s="216"/>
    </row>
    <row r="43" spans="3:24" ht="12.75">
      <c r="C43" s="219">
        <v>33</v>
      </c>
      <c r="D43" s="221" t="s">
        <v>373</v>
      </c>
      <c r="E43" s="194">
        <f t="shared" si="2"/>
        <v>12</v>
      </c>
      <c r="F43" s="223">
        <f t="shared" si="2"/>
        <v>12</v>
      </c>
      <c r="G43" s="203"/>
      <c r="H43" s="214"/>
      <c r="I43" s="196">
        <f t="shared" si="5"/>
        <v>12</v>
      </c>
      <c r="J43" s="203">
        <v>12</v>
      </c>
      <c r="K43" s="203"/>
      <c r="L43" s="216"/>
      <c r="M43" s="194"/>
      <c r="N43" s="203"/>
      <c r="O43" s="203"/>
      <c r="P43" s="214"/>
      <c r="Q43" s="196"/>
      <c r="R43" s="203"/>
      <c r="S43" s="203"/>
      <c r="T43" s="216"/>
      <c r="U43" s="196"/>
      <c r="V43" s="203"/>
      <c r="W43" s="203"/>
      <c r="X43" s="216"/>
    </row>
    <row r="44" spans="3:24" ht="12.75">
      <c r="C44" s="219">
        <v>34</v>
      </c>
      <c r="D44" s="225" t="s">
        <v>374</v>
      </c>
      <c r="E44" s="194">
        <f t="shared" si="2"/>
        <v>4</v>
      </c>
      <c r="F44" s="223">
        <f t="shared" si="2"/>
        <v>4</v>
      </c>
      <c r="G44" s="203"/>
      <c r="H44" s="214"/>
      <c r="I44" s="196">
        <f t="shared" si="5"/>
        <v>4</v>
      </c>
      <c r="J44" s="203">
        <v>4</v>
      </c>
      <c r="K44" s="203"/>
      <c r="L44" s="216"/>
      <c r="M44" s="194"/>
      <c r="N44" s="203"/>
      <c r="O44" s="203"/>
      <c r="P44" s="214"/>
      <c r="Q44" s="196"/>
      <c r="R44" s="203"/>
      <c r="S44" s="203"/>
      <c r="T44" s="216"/>
      <c r="U44" s="196"/>
      <c r="V44" s="203"/>
      <c r="W44" s="203"/>
      <c r="X44" s="216"/>
    </row>
    <row r="45" spans="3:24" ht="12.75">
      <c r="C45" s="219">
        <v>35</v>
      </c>
      <c r="D45" s="225" t="s">
        <v>375</v>
      </c>
      <c r="E45" s="194">
        <f t="shared" si="2"/>
        <v>4</v>
      </c>
      <c r="F45" s="223">
        <f t="shared" si="2"/>
        <v>4</v>
      </c>
      <c r="G45" s="203"/>
      <c r="H45" s="214"/>
      <c r="I45" s="196">
        <f t="shared" si="5"/>
        <v>4</v>
      </c>
      <c r="J45" s="203">
        <v>4</v>
      </c>
      <c r="K45" s="203"/>
      <c r="L45" s="216"/>
      <c r="M45" s="194"/>
      <c r="N45" s="203"/>
      <c r="O45" s="203"/>
      <c r="P45" s="214"/>
      <c r="Q45" s="196"/>
      <c r="R45" s="203"/>
      <c r="S45" s="203"/>
      <c r="T45" s="216"/>
      <c r="U45" s="196"/>
      <c r="V45" s="203"/>
      <c r="W45" s="203"/>
      <c r="X45" s="216"/>
    </row>
    <row r="46" spans="3:24" ht="12.75">
      <c r="C46" s="219">
        <v>36</v>
      </c>
      <c r="D46" s="221" t="s">
        <v>376</v>
      </c>
      <c r="E46" s="194">
        <f aca="true" t="shared" si="6" ref="E46:G82">I46+M46+Q46+U46</f>
        <v>13</v>
      </c>
      <c r="F46" s="223">
        <f t="shared" si="6"/>
        <v>13</v>
      </c>
      <c r="G46" s="203"/>
      <c r="H46" s="214"/>
      <c r="I46" s="196">
        <f t="shared" si="5"/>
        <v>13</v>
      </c>
      <c r="J46" s="203">
        <v>13</v>
      </c>
      <c r="K46" s="203"/>
      <c r="L46" s="216"/>
      <c r="M46" s="194"/>
      <c r="N46" s="203"/>
      <c r="O46" s="203"/>
      <c r="P46" s="214"/>
      <c r="Q46" s="196"/>
      <c r="R46" s="203"/>
      <c r="S46" s="203"/>
      <c r="T46" s="216"/>
      <c r="U46" s="196"/>
      <c r="V46" s="203"/>
      <c r="W46" s="203"/>
      <c r="X46" s="216"/>
    </row>
    <row r="47" spans="3:24" ht="12.75">
      <c r="C47" s="219">
        <v>37</v>
      </c>
      <c r="D47" s="221" t="s">
        <v>377</v>
      </c>
      <c r="E47" s="194">
        <f t="shared" si="6"/>
        <v>1.5</v>
      </c>
      <c r="F47" s="223">
        <f t="shared" si="6"/>
        <v>1.5</v>
      </c>
      <c r="G47" s="203"/>
      <c r="H47" s="214"/>
      <c r="I47" s="196">
        <f t="shared" si="5"/>
        <v>1.5</v>
      </c>
      <c r="J47" s="203">
        <v>1.5</v>
      </c>
      <c r="K47" s="203"/>
      <c r="L47" s="216"/>
      <c r="M47" s="194"/>
      <c r="N47" s="203"/>
      <c r="O47" s="203"/>
      <c r="P47" s="214"/>
      <c r="Q47" s="196"/>
      <c r="R47" s="203"/>
      <c r="S47" s="203"/>
      <c r="T47" s="216"/>
      <c r="U47" s="196"/>
      <c r="V47" s="203"/>
      <c r="W47" s="203"/>
      <c r="X47" s="216"/>
    </row>
    <row r="48" spans="3:24" ht="25.5">
      <c r="C48" s="219">
        <v>38</v>
      </c>
      <c r="D48" s="225" t="s">
        <v>611</v>
      </c>
      <c r="E48" s="194">
        <f t="shared" si="6"/>
        <v>3</v>
      </c>
      <c r="F48" s="223">
        <f t="shared" si="6"/>
        <v>3</v>
      </c>
      <c r="G48" s="203"/>
      <c r="H48" s="214"/>
      <c r="I48" s="196">
        <f t="shared" si="5"/>
        <v>3</v>
      </c>
      <c r="J48" s="203">
        <v>3</v>
      </c>
      <c r="K48" s="203"/>
      <c r="L48" s="216"/>
      <c r="M48" s="194"/>
      <c r="N48" s="203"/>
      <c r="O48" s="203"/>
      <c r="P48" s="214"/>
      <c r="Q48" s="196"/>
      <c r="R48" s="203"/>
      <c r="S48" s="203"/>
      <c r="T48" s="216"/>
      <c r="U48" s="196"/>
      <c r="V48" s="203"/>
      <c r="W48" s="203"/>
      <c r="X48" s="216"/>
    </row>
    <row r="49" spans="3:24" ht="12.75">
      <c r="C49" s="219">
        <v>39</v>
      </c>
      <c r="D49" s="225" t="s">
        <v>378</v>
      </c>
      <c r="E49" s="194">
        <f t="shared" si="6"/>
        <v>5</v>
      </c>
      <c r="F49" s="223">
        <f t="shared" si="6"/>
        <v>5</v>
      </c>
      <c r="G49" s="203"/>
      <c r="H49" s="214"/>
      <c r="I49" s="196">
        <f t="shared" si="5"/>
        <v>5</v>
      </c>
      <c r="J49" s="203">
        <v>5</v>
      </c>
      <c r="K49" s="203"/>
      <c r="L49" s="216"/>
      <c r="M49" s="194"/>
      <c r="N49" s="203"/>
      <c r="O49" s="203"/>
      <c r="P49" s="214"/>
      <c r="Q49" s="196"/>
      <c r="R49" s="203"/>
      <c r="S49" s="203"/>
      <c r="T49" s="216"/>
      <c r="U49" s="196"/>
      <c r="V49" s="203"/>
      <c r="W49" s="203"/>
      <c r="X49" s="216"/>
    </row>
    <row r="50" spans="3:24" ht="12.75">
      <c r="C50" s="219">
        <v>40</v>
      </c>
      <c r="D50" s="225" t="s">
        <v>379</v>
      </c>
      <c r="E50" s="194">
        <f t="shared" si="6"/>
        <v>1.5</v>
      </c>
      <c r="F50" s="223">
        <f t="shared" si="6"/>
        <v>1.5</v>
      </c>
      <c r="G50" s="203"/>
      <c r="H50" s="214"/>
      <c r="I50" s="196">
        <f t="shared" si="5"/>
        <v>1.5</v>
      </c>
      <c r="J50" s="203">
        <v>1.5</v>
      </c>
      <c r="K50" s="203"/>
      <c r="L50" s="216"/>
      <c r="M50" s="194"/>
      <c r="N50" s="203"/>
      <c r="O50" s="203"/>
      <c r="P50" s="214"/>
      <c r="Q50" s="196"/>
      <c r="R50" s="203"/>
      <c r="S50" s="203"/>
      <c r="T50" s="216"/>
      <c r="U50" s="196"/>
      <c r="V50" s="203"/>
      <c r="W50" s="203"/>
      <c r="X50" s="216"/>
    </row>
    <row r="51" spans="3:24" ht="25.5">
      <c r="C51" s="219">
        <v>41</v>
      </c>
      <c r="D51" s="230" t="s">
        <v>380</v>
      </c>
      <c r="E51" s="207">
        <f t="shared" si="6"/>
        <v>90.19999999999999</v>
      </c>
      <c r="F51" s="228">
        <f t="shared" si="6"/>
        <v>90.19999999999999</v>
      </c>
      <c r="G51" s="209"/>
      <c r="H51" s="210"/>
      <c r="I51" s="211">
        <f t="shared" si="5"/>
        <v>64.19999999999999</v>
      </c>
      <c r="J51" s="209">
        <f>SUM(J52:J56)</f>
        <v>64.19999999999999</v>
      </c>
      <c r="K51" s="203"/>
      <c r="L51" s="216"/>
      <c r="M51" s="207"/>
      <c r="N51" s="209"/>
      <c r="O51" s="203"/>
      <c r="P51" s="214"/>
      <c r="Q51" s="196"/>
      <c r="R51" s="203"/>
      <c r="S51" s="203"/>
      <c r="T51" s="216"/>
      <c r="U51" s="211">
        <f>V51+X51</f>
        <v>26</v>
      </c>
      <c r="V51" s="209">
        <f>SUM(V52:V56)</f>
        <v>26</v>
      </c>
      <c r="W51" s="203"/>
      <c r="X51" s="216"/>
    </row>
    <row r="52" spans="3:24" ht="12.75">
      <c r="C52" s="219">
        <f>+C51+1</f>
        <v>42</v>
      </c>
      <c r="D52" s="221" t="s">
        <v>381</v>
      </c>
      <c r="E52" s="194">
        <f t="shared" si="6"/>
        <v>10</v>
      </c>
      <c r="F52" s="223">
        <f t="shared" si="6"/>
        <v>10</v>
      </c>
      <c r="G52" s="203"/>
      <c r="H52" s="214"/>
      <c r="I52" s="196">
        <f t="shared" si="5"/>
        <v>10</v>
      </c>
      <c r="J52" s="203">
        <v>10</v>
      </c>
      <c r="K52" s="203"/>
      <c r="L52" s="216"/>
      <c r="M52" s="194"/>
      <c r="N52" s="203"/>
      <c r="O52" s="203"/>
      <c r="P52" s="214"/>
      <c r="Q52" s="196"/>
      <c r="R52" s="203"/>
      <c r="S52" s="203"/>
      <c r="T52" s="216"/>
      <c r="U52" s="196"/>
      <c r="V52" s="203"/>
      <c r="W52" s="203"/>
      <c r="X52" s="216"/>
    </row>
    <row r="53" spans="3:24" ht="25.5">
      <c r="C53" s="219">
        <v>43</v>
      </c>
      <c r="D53" s="221" t="s">
        <v>382</v>
      </c>
      <c r="E53" s="194">
        <f t="shared" si="6"/>
        <v>46.2</v>
      </c>
      <c r="F53" s="223">
        <f t="shared" si="6"/>
        <v>46.2</v>
      </c>
      <c r="G53" s="203"/>
      <c r="H53" s="214"/>
      <c r="I53" s="196">
        <f t="shared" si="5"/>
        <v>46.2</v>
      </c>
      <c r="J53" s="203">
        <f>50-3.8</f>
        <v>46.2</v>
      </c>
      <c r="K53" s="203"/>
      <c r="L53" s="216"/>
      <c r="M53" s="194"/>
      <c r="N53" s="203"/>
      <c r="O53" s="203"/>
      <c r="P53" s="214"/>
      <c r="Q53" s="196"/>
      <c r="R53" s="203"/>
      <c r="S53" s="203"/>
      <c r="T53" s="216"/>
      <c r="U53" s="196"/>
      <c r="V53" s="203"/>
      <c r="W53" s="203"/>
      <c r="X53" s="216"/>
    </row>
    <row r="54" spans="3:24" ht="12.75">
      <c r="C54" s="219">
        <v>44</v>
      </c>
      <c r="D54" s="231" t="s">
        <v>383</v>
      </c>
      <c r="E54" s="194">
        <f t="shared" si="6"/>
        <v>7.899999999999999</v>
      </c>
      <c r="F54" s="223">
        <f t="shared" si="6"/>
        <v>7.899999999999999</v>
      </c>
      <c r="G54" s="203"/>
      <c r="H54" s="214"/>
      <c r="I54" s="196">
        <f t="shared" si="5"/>
        <v>7.899999999999999</v>
      </c>
      <c r="J54" s="203">
        <f>30-22.1</f>
        <v>7.899999999999999</v>
      </c>
      <c r="K54" s="203"/>
      <c r="L54" s="216"/>
      <c r="M54" s="194"/>
      <c r="N54" s="203"/>
      <c r="O54" s="203"/>
      <c r="P54" s="214"/>
      <c r="Q54" s="196"/>
      <c r="R54" s="203"/>
      <c r="S54" s="203"/>
      <c r="T54" s="216"/>
      <c r="U54" s="196"/>
      <c r="V54" s="203"/>
      <c r="W54" s="203"/>
      <c r="X54" s="216"/>
    </row>
    <row r="55" spans="3:24" ht="12.75">
      <c r="C55" s="219">
        <v>45</v>
      </c>
      <c r="D55" s="221" t="s">
        <v>384</v>
      </c>
      <c r="E55" s="194">
        <f t="shared" si="6"/>
        <v>0.1</v>
      </c>
      <c r="F55" s="223">
        <f t="shared" si="6"/>
        <v>0.1</v>
      </c>
      <c r="G55" s="203"/>
      <c r="H55" s="214"/>
      <c r="I55" s="196">
        <f t="shared" si="5"/>
        <v>0.1</v>
      </c>
      <c r="J55" s="203">
        <v>0.1</v>
      </c>
      <c r="K55" s="203"/>
      <c r="L55" s="216"/>
      <c r="M55" s="194"/>
      <c r="N55" s="203"/>
      <c r="O55" s="203"/>
      <c r="P55" s="214"/>
      <c r="Q55" s="196"/>
      <c r="R55" s="203"/>
      <c r="S55" s="203"/>
      <c r="T55" s="216"/>
      <c r="U55" s="196"/>
      <c r="V55" s="203"/>
      <c r="W55" s="203"/>
      <c r="X55" s="216"/>
    </row>
    <row r="56" spans="3:24" ht="12.75">
      <c r="C56" s="219">
        <v>46</v>
      </c>
      <c r="D56" s="221" t="s">
        <v>385</v>
      </c>
      <c r="E56" s="194">
        <f t="shared" si="6"/>
        <v>26</v>
      </c>
      <c r="F56" s="223">
        <f t="shared" si="6"/>
        <v>26</v>
      </c>
      <c r="G56" s="203"/>
      <c r="H56" s="214"/>
      <c r="I56" s="196"/>
      <c r="J56" s="203"/>
      <c r="K56" s="203"/>
      <c r="L56" s="216"/>
      <c r="M56" s="194"/>
      <c r="N56" s="203"/>
      <c r="O56" s="203"/>
      <c r="P56" s="214"/>
      <c r="Q56" s="196"/>
      <c r="R56" s="203"/>
      <c r="S56" s="203"/>
      <c r="T56" s="216"/>
      <c r="U56" s="196">
        <f>V56+X56</f>
        <v>26</v>
      </c>
      <c r="V56" s="203">
        <f>26</f>
        <v>26</v>
      </c>
      <c r="W56" s="203"/>
      <c r="X56" s="216"/>
    </row>
    <row r="57" spans="3:24" ht="12.75">
      <c r="C57" s="219">
        <v>47</v>
      </c>
      <c r="D57" s="227" t="s">
        <v>386</v>
      </c>
      <c r="E57" s="207">
        <f t="shared" si="6"/>
        <v>2798.2999999999997</v>
      </c>
      <c r="F57" s="228">
        <f t="shared" si="6"/>
        <v>494.3</v>
      </c>
      <c r="G57" s="228">
        <f t="shared" si="6"/>
        <v>3.817</v>
      </c>
      <c r="H57" s="210">
        <f>L57+P57+T57+X57</f>
        <v>2304</v>
      </c>
      <c r="I57" s="232">
        <f>J57+L57</f>
        <v>532.1</v>
      </c>
      <c r="J57" s="209">
        <f>J58+J60+J61+J62+J63+J64+J65+J66</f>
        <v>482.1</v>
      </c>
      <c r="K57" s="209">
        <f>K58+K60+K61+K62+K63+K64+K65+K66</f>
        <v>3.817</v>
      </c>
      <c r="L57" s="233">
        <f>L60</f>
        <v>50</v>
      </c>
      <c r="M57" s="207">
        <f>N57+P57</f>
        <v>2266.2</v>
      </c>
      <c r="N57" s="209">
        <f>N62</f>
        <v>12.2</v>
      </c>
      <c r="O57" s="203"/>
      <c r="P57" s="210">
        <f>P59</f>
        <v>2254</v>
      </c>
      <c r="Q57" s="196"/>
      <c r="R57" s="203"/>
      <c r="S57" s="203"/>
      <c r="T57" s="216"/>
      <c r="U57" s="196"/>
      <c r="V57" s="203"/>
      <c r="W57" s="203"/>
      <c r="X57" s="216"/>
    </row>
    <row r="58" spans="3:24" ht="12.75">
      <c r="C58" s="219">
        <v>48</v>
      </c>
      <c r="D58" s="229" t="s">
        <v>387</v>
      </c>
      <c r="E58" s="194">
        <f t="shared" si="6"/>
        <v>2604</v>
      </c>
      <c r="F58" s="223">
        <f t="shared" si="6"/>
        <v>350</v>
      </c>
      <c r="G58" s="203"/>
      <c r="H58" s="214">
        <f>L58+P58+T58+X58</f>
        <v>2254</v>
      </c>
      <c r="I58" s="196">
        <f>J58+L58</f>
        <v>350</v>
      </c>
      <c r="J58" s="203">
        <v>350</v>
      </c>
      <c r="K58" s="203"/>
      <c r="L58" s="216"/>
      <c r="M58" s="194">
        <f>N58+P58</f>
        <v>2254</v>
      </c>
      <c r="N58" s="203"/>
      <c r="O58" s="203"/>
      <c r="P58" s="214">
        <f>P59</f>
        <v>2254</v>
      </c>
      <c r="Q58" s="196"/>
      <c r="R58" s="203"/>
      <c r="S58" s="203"/>
      <c r="T58" s="216"/>
      <c r="U58" s="196"/>
      <c r="V58" s="203"/>
      <c r="W58" s="203"/>
      <c r="X58" s="216"/>
    </row>
    <row r="59" spans="3:24" ht="12.75">
      <c r="C59" s="219">
        <v>49</v>
      </c>
      <c r="D59" s="234" t="s">
        <v>388</v>
      </c>
      <c r="E59" s="194">
        <f t="shared" si="6"/>
        <v>2254</v>
      </c>
      <c r="F59" s="223"/>
      <c r="G59" s="203"/>
      <c r="H59" s="214">
        <f>L59+P59+T59+X59</f>
        <v>2254</v>
      </c>
      <c r="I59" s="196"/>
      <c r="J59" s="203"/>
      <c r="K59" s="203"/>
      <c r="L59" s="216"/>
      <c r="M59" s="194">
        <f>N59+P59</f>
        <v>2254</v>
      </c>
      <c r="N59" s="203"/>
      <c r="O59" s="203"/>
      <c r="P59" s="235">
        <v>2254</v>
      </c>
      <c r="Q59" s="196"/>
      <c r="R59" s="203"/>
      <c r="S59" s="203"/>
      <c r="T59" s="216"/>
      <c r="U59" s="196"/>
      <c r="V59" s="203"/>
      <c r="W59" s="203"/>
      <c r="X59" s="216"/>
    </row>
    <row r="60" spans="3:24" ht="25.5">
      <c r="C60" s="219">
        <v>50</v>
      </c>
      <c r="D60" s="236" t="s">
        <v>389</v>
      </c>
      <c r="E60" s="237">
        <f t="shared" si="6"/>
        <v>50</v>
      </c>
      <c r="F60" s="203"/>
      <c r="G60" s="203"/>
      <c r="H60" s="237">
        <f>L60+P60+T60+X60</f>
        <v>50</v>
      </c>
      <c r="I60" s="196">
        <f>J60+L60</f>
        <v>50</v>
      </c>
      <c r="J60" s="203"/>
      <c r="K60" s="203"/>
      <c r="L60" s="216">
        <v>50</v>
      </c>
      <c r="M60" s="194"/>
      <c r="N60" s="203"/>
      <c r="O60" s="203"/>
      <c r="P60" s="214"/>
      <c r="Q60" s="196"/>
      <c r="R60" s="203"/>
      <c r="S60" s="203"/>
      <c r="T60" s="216"/>
      <c r="U60" s="196"/>
      <c r="V60" s="203"/>
      <c r="W60" s="203"/>
      <c r="X60" s="216"/>
    </row>
    <row r="61" spans="3:24" ht="12.75">
      <c r="C61" s="219">
        <v>51</v>
      </c>
      <c r="D61" s="229" t="s">
        <v>390</v>
      </c>
      <c r="E61" s="194">
        <f t="shared" si="6"/>
        <v>86.1</v>
      </c>
      <c r="F61" s="223">
        <f t="shared" si="6"/>
        <v>86.1</v>
      </c>
      <c r="G61" s="203"/>
      <c r="H61" s="214"/>
      <c r="I61" s="196">
        <f>J61+L61</f>
        <v>86.1</v>
      </c>
      <c r="J61" s="203">
        <f>100-13.9</f>
        <v>86.1</v>
      </c>
      <c r="K61" s="203"/>
      <c r="L61" s="216"/>
      <c r="M61" s="194"/>
      <c r="N61" s="203"/>
      <c r="O61" s="203"/>
      <c r="P61" s="214"/>
      <c r="Q61" s="196"/>
      <c r="R61" s="203"/>
      <c r="S61" s="203"/>
      <c r="T61" s="216"/>
      <c r="U61" s="196"/>
      <c r="V61" s="203"/>
      <c r="W61" s="203"/>
      <c r="X61" s="216"/>
    </row>
    <row r="62" spans="3:24" ht="12.75">
      <c r="C62" s="219">
        <v>52</v>
      </c>
      <c r="D62" s="221" t="s">
        <v>351</v>
      </c>
      <c r="E62" s="194">
        <f t="shared" si="6"/>
        <v>12.2</v>
      </c>
      <c r="F62" s="223">
        <f t="shared" si="6"/>
        <v>12.2</v>
      </c>
      <c r="G62" s="203"/>
      <c r="H62" s="214"/>
      <c r="I62" s="196"/>
      <c r="J62" s="203"/>
      <c r="K62" s="203"/>
      <c r="L62" s="216"/>
      <c r="M62" s="194">
        <f>N62+P62</f>
        <v>12.2</v>
      </c>
      <c r="N62" s="203">
        <v>12.2</v>
      </c>
      <c r="O62" s="203"/>
      <c r="P62" s="214"/>
      <c r="Q62" s="196"/>
      <c r="R62" s="203"/>
      <c r="S62" s="203"/>
      <c r="T62" s="216"/>
      <c r="U62" s="196"/>
      <c r="V62" s="203"/>
      <c r="W62" s="203"/>
      <c r="X62" s="216"/>
    </row>
    <row r="63" spans="3:24" ht="12.75">
      <c r="C63" s="219">
        <v>53</v>
      </c>
      <c r="D63" s="221" t="s">
        <v>391</v>
      </c>
      <c r="E63" s="194">
        <f t="shared" si="6"/>
        <v>16</v>
      </c>
      <c r="F63" s="223">
        <f t="shared" si="6"/>
        <v>16</v>
      </c>
      <c r="G63" s="203"/>
      <c r="H63" s="214"/>
      <c r="I63" s="196">
        <f aca="true" t="shared" si="7" ref="I63:I76">J63+L63</f>
        <v>16</v>
      </c>
      <c r="J63" s="203">
        <v>16</v>
      </c>
      <c r="K63" s="203"/>
      <c r="L63" s="216"/>
      <c r="M63" s="194"/>
      <c r="N63" s="203"/>
      <c r="O63" s="203"/>
      <c r="P63" s="214"/>
      <c r="Q63" s="196"/>
      <c r="R63" s="203"/>
      <c r="S63" s="203"/>
      <c r="T63" s="216"/>
      <c r="U63" s="196"/>
      <c r="V63" s="203"/>
      <c r="W63" s="203"/>
      <c r="X63" s="216"/>
    </row>
    <row r="64" spans="3:24" ht="12.75">
      <c r="C64" s="219">
        <v>54</v>
      </c>
      <c r="D64" s="221" t="s">
        <v>392</v>
      </c>
      <c r="E64" s="194">
        <f t="shared" si="6"/>
        <v>5</v>
      </c>
      <c r="F64" s="223">
        <f t="shared" si="6"/>
        <v>5</v>
      </c>
      <c r="G64" s="223">
        <f t="shared" si="6"/>
        <v>3.817</v>
      </c>
      <c r="H64" s="214"/>
      <c r="I64" s="196">
        <f t="shared" si="7"/>
        <v>5</v>
      </c>
      <c r="J64" s="203">
        <v>5</v>
      </c>
      <c r="K64" s="215">
        <v>3.817</v>
      </c>
      <c r="L64" s="216"/>
      <c r="M64" s="194"/>
      <c r="N64" s="203"/>
      <c r="O64" s="203"/>
      <c r="P64" s="214"/>
      <c r="Q64" s="196"/>
      <c r="R64" s="203"/>
      <c r="S64" s="203"/>
      <c r="T64" s="216"/>
      <c r="U64" s="196"/>
      <c r="V64" s="203"/>
      <c r="W64" s="203"/>
      <c r="X64" s="216"/>
    </row>
    <row r="65" spans="3:24" ht="12.75">
      <c r="C65" s="219">
        <v>55</v>
      </c>
      <c r="D65" s="221" t="s">
        <v>393</v>
      </c>
      <c r="E65" s="194">
        <f t="shared" si="6"/>
        <v>15</v>
      </c>
      <c r="F65" s="223">
        <f t="shared" si="6"/>
        <v>15</v>
      </c>
      <c r="G65" s="203"/>
      <c r="H65" s="214"/>
      <c r="I65" s="196">
        <f t="shared" si="7"/>
        <v>15</v>
      </c>
      <c r="J65" s="203">
        <v>15</v>
      </c>
      <c r="K65" s="215"/>
      <c r="L65" s="216"/>
      <c r="M65" s="194"/>
      <c r="N65" s="203"/>
      <c r="O65" s="203"/>
      <c r="P65" s="214"/>
      <c r="Q65" s="196"/>
      <c r="R65" s="203"/>
      <c r="S65" s="203"/>
      <c r="T65" s="216"/>
      <c r="U65" s="196"/>
      <c r="V65" s="203"/>
      <c r="W65" s="203"/>
      <c r="X65" s="216"/>
    </row>
    <row r="66" spans="3:24" ht="12.75">
      <c r="C66" s="219">
        <v>56</v>
      </c>
      <c r="D66" s="217" t="s">
        <v>394</v>
      </c>
      <c r="E66" s="194">
        <f t="shared" si="6"/>
        <v>10</v>
      </c>
      <c r="F66" s="223">
        <f t="shared" si="6"/>
        <v>10</v>
      </c>
      <c r="G66" s="203"/>
      <c r="H66" s="214"/>
      <c r="I66" s="196">
        <f t="shared" si="7"/>
        <v>10</v>
      </c>
      <c r="J66" s="203">
        <v>10</v>
      </c>
      <c r="K66" s="215"/>
      <c r="L66" s="216"/>
      <c r="M66" s="194"/>
      <c r="N66" s="203"/>
      <c r="O66" s="203"/>
      <c r="P66" s="214"/>
      <c r="Q66" s="196"/>
      <c r="R66" s="203"/>
      <c r="S66" s="203"/>
      <c r="T66" s="216"/>
      <c r="U66" s="196"/>
      <c r="V66" s="203"/>
      <c r="W66" s="203"/>
      <c r="X66" s="216"/>
    </row>
    <row r="67" spans="3:24" ht="25.5">
      <c r="C67" s="219">
        <v>57</v>
      </c>
      <c r="D67" s="230" t="s">
        <v>395</v>
      </c>
      <c r="E67" s="207">
        <f t="shared" si="6"/>
        <v>114.80000000000001</v>
      </c>
      <c r="F67" s="228">
        <f t="shared" si="6"/>
        <v>114.80000000000001</v>
      </c>
      <c r="G67" s="209"/>
      <c r="H67" s="210"/>
      <c r="I67" s="211">
        <f t="shared" si="7"/>
        <v>114.80000000000001</v>
      </c>
      <c r="J67" s="209">
        <f>SUM(J68:J70)</f>
        <v>114.80000000000001</v>
      </c>
      <c r="K67" s="203"/>
      <c r="L67" s="216"/>
      <c r="M67" s="194"/>
      <c r="N67" s="203"/>
      <c r="O67" s="203"/>
      <c r="P67" s="214"/>
      <c r="Q67" s="196"/>
      <c r="R67" s="203"/>
      <c r="S67" s="203"/>
      <c r="T67" s="216"/>
      <c r="U67" s="196"/>
      <c r="V67" s="203"/>
      <c r="W67" s="203"/>
      <c r="X67" s="216"/>
    </row>
    <row r="68" spans="3:24" ht="25.5">
      <c r="C68" s="219">
        <v>58</v>
      </c>
      <c r="D68" s="221" t="s">
        <v>396</v>
      </c>
      <c r="E68" s="194">
        <f t="shared" si="6"/>
        <v>50</v>
      </c>
      <c r="F68" s="223">
        <f t="shared" si="6"/>
        <v>50</v>
      </c>
      <c r="G68" s="203"/>
      <c r="H68" s="214"/>
      <c r="I68" s="196">
        <f t="shared" si="7"/>
        <v>50</v>
      </c>
      <c r="J68" s="203">
        <v>50</v>
      </c>
      <c r="K68" s="203"/>
      <c r="L68" s="216"/>
      <c r="M68" s="194"/>
      <c r="N68" s="203"/>
      <c r="O68" s="203"/>
      <c r="P68" s="214"/>
      <c r="Q68" s="196"/>
      <c r="R68" s="203"/>
      <c r="S68" s="203"/>
      <c r="T68" s="216"/>
      <c r="U68" s="196"/>
      <c r="V68" s="203"/>
      <c r="W68" s="203"/>
      <c r="X68" s="216"/>
    </row>
    <row r="69" spans="3:24" ht="25.5">
      <c r="C69" s="219">
        <v>59</v>
      </c>
      <c r="D69" s="221" t="s">
        <v>397</v>
      </c>
      <c r="E69" s="194">
        <f t="shared" si="6"/>
        <v>28.9</v>
      </c>
      <c r="F69" s="223">
        <f t="shared" si="6"/>
        <v>28.9</v>
      </c>
      <c r="G69" s="203"/>
      <c r="H69" s="214"/>
      <c r="I69" s="196">
        <f t="shared" si="7"/>
        <v>28.9</v>
      </c>
      <c r="J69" s="203">
        <f>30-1.1</f>
        <v>28.9</v>
      </c>
      <c r="K69" s="203"/>
      <c r="L69" s="216"/>
      <c r="M69" s="194"/>
      <c r="N69" s="203"/>
      <c r="O69" s="203"/>
      <c r="P69" s="214"/>
      <c r="Q69" s="196"/>
      <c r="R69" s="203"/>
      <c r="S69" s="203"/>
      <c r="T69" s="216"/>
      <c r="U69" s="196"/>
      <c r="V69" s="203"/>
      <c r="W69" s="203"/>
      <c r="X69" s="216"/>
    </row>
    <row r="70" spans="3:24" ht="12.75">
      <c r="C70" s="219">
        <v>60</v>
      </c>
      <c r="D70" s="221" t="s">
        <v>398</v>
      </c>
      <c r="E70" s="194">
        <f t="shared" si="6"/>
        <v>35.9</v>
      </c>
      <c r="F70" s="223">
        <f t="shared" si="6"/>
        <v>35.9</v>
      </c>
      <c r="G70" s="203"/>
      <c r="H70" s="214"/>
      <c r="I70" s="196">
        <f t="shared" si="7"/>
        <v>35.9</v>
      </c>
      <c r="J70" s="203">
        <v>35.9</v>
      </c>
      <c r="K70" s="203"/>
      <c r="L70" s="216"/>
      <c r="M70" s="194"/>
      <c r="N70" s="203"/>
      <c r="O70" s="203"/>
      <c r="P70" s="214"/>
      <c r="Q70" s="196"/>
      <c r="R70" s="203"/>
      <c r="S70" s="203"/>
      <c r="T70" s="216"/>
      <c r="U70" s="196"/>
      <c r="V70" s="203"/>
      <c r="W70" s="203"/>
      <c r="X70" s="216"/>
    </row>
    <row r="71" spans="3:24" ht="25.5">
      <c r="C71" s="219">
        <f aca="true" t="shared" si="8" ref="C71:C78">+C70+1</f>
        <v>61</v>
      </c>
      <c r="D71" s="230" t="s">
        <v>399</v>
      </c>
      <c r="E71" s="207">
        <f t="shared" si="6"/>
        <v>175.8</v>
      </c>
      <c r="F71" s="228">
        <f t="shared" si="6"/>
        <v>175.8</v>
      </c>
      <c r="G71" s="209"/>
      <c r="H71" s="210"/>
      <c r="I71" s="211">
        <f t="shared" si="7"/>
        <v>175.8</v>
      </c>
      <c r="J71" s="209">
        <f>SUM(J72:J76)</f>
        <v>175.8</v>
      </c>
      <c r="K71" s="203"/>
      <c r="L71" s="216"/>
      <c r="M71" s="194"/>
      <c r="N71" s="203"/>
      <c r="O71" s="203"/>
      <c r="P71" s="214"/>
      <c r="Q71" s="196"/>
      <c r="R71" s="203"/>
      <c r="S71" s="203"/>
      <c r="T71" s="216"/>
      <c r="U71" s="211"/>
      <c r="V71" s="209"/>
      <c r="W71" s="203"/>
      <c r="X71" s="216"/>
    </row>
    <row r="72" spans="3:24" ht="12.75">
      <c r="C72" s="219">
        <f t="shared" si="8"/>
        <v>62</v>
      </c>
      <c r="D72" s="221" t="s">
        <v>400</v>
      </c>
      <c r="E72" s="194">
        <f t="shared" si="6"/>
        <v>1.4</v>
      </c>
      <c r="F72" s="223">
        <f t="shared" si="6"/>
        <v>1.4</v>
      </c>
      <c r="G72" s="203"/>
      <c r="H72" s="214"/>
      <c r="I72" s="196">
        <f t="shared" si="7"/>
        <v>1.4</v>
      </c>
      <c r="J72" s="203">
        <v>1.4</v>
      </c>
      <c r="K72" s="203"/>
      <c r="L72" s="216"/>
      <c r="M72" s="194"/>
      <c r="N72" s="203"/>
      <c r="O72" s="203"/>
      <c r="P72" s="214"/>
      <c r="Q72" s="196"/>
      <c r="R72" s="203"/>
      <c r="S72" s="203"/>
      <c r="T72" s="216"/>
      <c r="U72" s="196"/>
      <c r="V72" s="203"/>
      <c r="W72" s="203"/>
      <c r="X72" s="216"/>
    </row>
    <row r="73" spans="3:24" ht="12.75">
      <c r="C73" s="219">
        <f t="shared" si="8"/>
        <v>63</v>
      </c>
      <c r="D73" s="221" t="s">
        <v>401</v>
      </c>
      <c r="E73" s="194">
        <f t="shared" si="6"/>
        <v>1.4</v>
      </c>
      <c r="F73" s="223">
        <f t="shared" si="6"/>
        <v>1.4</v>
      </c>
      <c r="G73" s="203"/>
      <c r="H73" s="214"/>
      <c r="I73" s="196">
        <f t="shared" si="7"/>
        <v>1.4</v>
      </c>
      <c r="J73" s="203">
        <v>1.4</v>
      </c>
      <c r="K73" s="203"/>
      <c r="L73" s="216"/>
      <c r="M73" s="194"/>
      <c r="N73" s="203"/>
      <c r="O73" s="203"/>
      <c r="P73" s="214"/>
      <c r="Q73" s="196"/>
      <c r="R73" s="203"/>
      <c r="S73" s="203"/>
      <c r="T73" s="216"/>
      <c r="U73" s="196"/>
      <c r="V73" s="203"/>
      <c r="W73" s="203"/>
      <c r="X73" s="216"/>
    </row>
    <row r="74" spans="3:24" ht="25.5">
      <c r="C74" s="219">
        <f t="shared" si="8"/>
        <v>64</v>
      </c>
      <c r="D74" s="221" t="s">
        <v>402</v>
      </c>
      <c r="E74" s="194">
        <f t="shared" si="6"/>
        <v>14.9</v>
      </c>
      <c r="F74" s="223">
        <f t="shared" si="6"/>
        <v>14.9</v>
      </c>
      <c r="G74" s="203"/>
      <c r="H74" s="214"/>
      <c r="I74" s="196">
        <f t="shared" si="7"/>
        <v>14.9</v>
      </c>
      <c r="J74" s="203">
        <f>15-0.1</f>
        <v>14.9</v>
      </c>
      <c r="K74" s="203"/>
      <c r="L74" s="216"/>
      <c r="M74" s="194"/>
      <c r="N74" s="203"/>
      <c r="O74" s="203"/>
      <c r="P74" s="214"/>
      <c r="Q74" s="196"/>
      <c r="R74" s="203"/>
      <c r="S74" s="203"/>
      <c r="T74" s="216"/>
      <c r="U74" s="196"/>
      <c r="V74" s="203"/>
      <c r="W74" s="203"/>
      <c r="X74" s="216"/>
    </row>
    <row r="75" spans="3:24" ht="12.75">
      <c r="C75" s="219">
        <f t="shared" si="8"/>
        <v>65</v>
      </c>
      <c r="D75" s="221" t="s">
        <v>403</v>
      </c>
      <c r="E75" s="194">
        <f t="shared" si="6"/>
        <v>28.1</v>
      </c>
      <c r="F75" s="223">
        <f t="shared" si="6"/>
        <v>28.1</v>
      </c>
      <c r="G75" s="203"/>
      <c r="H75" s="214"/>
      <c r="I75" s="196">
        <f t="shared" si="7"/>
        <v>28.1</v>
      </c>
      <c r="J75" s="203">
        <f>30-1.9</f>
        <v>28.1</v>
      </c>
      <c r="K75" s="203"/>
      <c r="L75" s="216"/>
      <c r="M75" s="194"/>
      <c r="N75" s="203"/>
      <c r="O75" s="203"/>
      <c r="P75" s="214"/>
      <c r="Q75" s="196"/>
      <c r="R75" s="203"/>
      <c r="S75" s="203"/>
      <c r="T75" s="216"/>
      <c r="U75" s="196"/>
      <c r="V75" s="203"/>
      <c r="W75" s="203"/>
      <c r="X75" s="216"/>
    </row>
    <row r="76" spans="3:24" ht="12.75">
      <c r="C76" s="219">
        <f t="shared" si="8"/>
        <v>66</v>
      </c>
      <c r="D76" s="231" t="s">
        <v>404</v>
      </c>
      <c r="E76" s="194">
        <f t="shared" si="6"/>
        <v>130</v>
      </c>
      <c r="F76" s="223">
        <f t="shared" si="6"/>
        <v>130</v>
      </c>
      <c r="G76" s="203"/>
      <c r="H76" s="214"/>
      <c r="I76" s="196">
        <f t="shared" si="7"/>
        <v>130</v>
      </c>
      <c r="J76" s="238">
        <v>130</v>
      </c>
      <c r="K76" s="203"/>
      <c r="L76" s="216"/>
      <c r="M76" s="194"/>
      <c r="N76" s="203"/>
      <c r="O76" s="203"/>
      <c r="P76" s="214"/>
      <c r="Q76" s="196"/>
      <c r="R76" s="203"/>
      <c r="S76" s="203"/>
      <c r="T76" s="216"/>
      <c r="U76" s="196"/>
      <c r="V76" s="203"/>
      <c r="W76" s="203"/>
      <c r="X76" s="216"/>
    </row>
    <row r="77" spans="3:24" ht="12.75">
      <c r="C77" s="219">
        <f t="shared" si="8"/>
        <v>67</v>
      </c>
      <c r="D77" s="206" t="s">
        <v>405</v>
      </c>
      <c r="E77" s="207">
        <f t="shared" si="6"/>
        <v>94.21799999999999</v>
      </c>
      <c r="F77" s="228">
        <f t="shared" si="6"/>
        <v>94.21799999999999</v>
      </c>
      <c r="G77" s="209"/>
      <c r="H77" s="210"/>
      <c r="I77" s="211">
        <f>J77+L77</f>
        <v>94.21799999999999</v>
      </c>
      <c r="J77" s="209">
        <f>J78</f>
        <v>94.21799999999999</v>
      </c>
      <c r="K77" s="203"/>
      <c r="L77" s="216"/>
      <c r="M77" s="194"/>
      <c r="N77" s="203"/>
      <c r="O77" s="203"/>
      <c r="P77" s="214"/>
      <c r="Q77" s="196"/>
      <c r="R77" s="203"/>
      <c r="S77" s="203"/>
      <c r="T77" s="216"/>
      <c r="U77" s="196"/>
      <c r="V77" s="203"/>
      <c r="W77" s="203"/>
      <c r="X77" s="216"/>
    </row>
    <row r="78" spans="3:24" ht="12.75">
      <c r="C78" s="219">
        <f t="shared" si="8"/>
        <v>68</v>
      </c>
      <c r="D78" s="229" t="s">
        <v>406</v>
      </c>
      <c r="E78" s="194">
        <f t="shared" si="6"/>
        <v>94.21799999999999</v>
      </c>
      <c r="F78" s="223">
        <f t="shared" si="6"/>
        <v>94.21799999999999</v>
      </c>
      <c r="G78" s="203"/>
      <c r="H78" s="214"/>
      <c r="I78" s="196">
        <f>J78+L78</f>
        <v>94.21799999999999</v>
      </c>
      <c r="J78" s="203">
        <f>132-37.174-0.608</f>
        <v>94.21799999999999</v>
      </c>
      <c r="K78" s="203"/>
      <c r="L78" s="216"/>
      <c r="M78" s="194"/>
      <c r="N78" s="203"/>
      <c r="O78" s="203"/>
      <c r="P78" s="214"/>
      <c r="Q78" s="196"/>
      <c r="R78" s="203"/>
      <c r="S78" s="203"/>
      <c r="T78" s="216"/>
      <c r="U78" s="196"/>
      <c r="V78" s="203"/>
      <c r="W78" s="203"/>
      <c r="X78" s="216"/>
    </row>
    <row r="79" spans="3:24" ht="12.75">
      <c r="C79" s="219">
        <v>69</v>
      </c>
      <c r="D79" s="206" t="s">
        <v>407</v>
      </c>
      <c r="E79" s="207">
        <f t="shared" si="6"/>
        <v>268.1</v>
      </c>
      <c r="F79" s="228">
        <f t="shared" si="6"/>
        <v>268.1</v>
      </c>
      <c r="G79" s="209"/>
      <c r="H79" s="210"/>
      <c r="I79" s="211">
        <f>J79+L79</f>
        <v>12.1</v>
      </c>
      <c r="J79" s="209">
        <f>J80+J81</f>
        <v>12.1</v>
      </c>
      <c r="K79" s="209"/>
      <c r="L79" s="212"/>
      <c r="M79" s="207">
        <f>M80+M81</f>
        <v>256</v>
      </c>
      <c r="N79" s="209">
        <f>N80+N81</f>
        <v>256</v>
      </c>
      <c r="O79" s="203"/>
      <c r="P79" s="214"/>
      <c r="Q79" s="196"/>
      <c r="R79" s="203"/>
      <c r="S79" s="203"/>
      <c r="T79" s="216"/>
      <c r="U79" s="196"/>
      <c r="V79" s="203"/>
      <c r="W79" s="203"/>
      <c r="X79" s="216"/>
    </row>
    <row r="80" spans="3:24" ht="12.75">
      <c r="C80" s="219">
        <f>+C79+1</f>
        <v>70</v>
      </c>
      <c r="D80" s="229" t="s">
        <v>408</v>
      </c>
      <c r="E80" s="194">
        <f t="shared" si="6"/>
        <v>256</v>
      </c>
      <c r="F80" s="223">
        <f t="shared" si="6"/>
        <v>256</v>
      </c>
      <c r="G80" s="203"/>
      <c r="H80" s="214"/>
      <c r="I80" s="196"/>
      <c r="J80" s="203"/>
      <c r="K80" s="203"/>
      <c r="L80" s="216"/>
      <c r="M80" s="194">
        <f>N80+P80</f>
        <v>256</v>
      </c>
      <c r="N80" s="203">
        <v>256</v>
      </c>
      <c r="O80" s="203"/>
      <c r="P80" s="214"/>
      <c r="Q80" s="196"/>
      <c r="R80" s="203"/>
      <c r="S80" s="203"/>
      <c r="T80" s="216"/>
      <c r="U80" s="196"/>
      <c r="V80" s="203"/>
      <c r="W80" s="203"/>
      <c r="X80" s="216"/>
    </row>
    <row r="81" spans="3:24" ht="12.75">
      <c r="C81" s="219">
        <f>+C80+1</f>
        <v>71</v>
      </c>
      <c r="D81" s="229" t="s">
        <v>409</v>
      </c>
      <c r="E81" s="194">
        <f t="shared" si="6"/>
        <v>12.1</v>
      </c>
      <c r="F81" s="223">
        <f t="shared" si="6"/>
        <v>12.1</v>
      </c>
      <c r="G81" s="203"/>
      <c r="H81" s="214"/>
      <c r="I81" s="196">
        <f>J81+L81</f>
        <v>12.1</v>
      </c>
      <c r="J81" s="203">
        <f>12.5-0.4</f>
        <v>12.1</v>
      </c>
      <c r="K81" s="203"/>
      <c r="L81" s="216"/>
      <c r="M81" s="194"/>
      <c r="N81" s="203"/>
      <c r="O81" s="203"/>
      <c r="P81" s="214"/>
      <c r="Q81" s="196"/>
      <c r="R81" s="203"/>
      <c r="S81" s="203"/>
      <c r="T81" s="216"/>
      <c r="U81" s="196"/>
      <c r="V81" s="203"/>
      <c r="W81" s="203"/>
      <c r="X81" s="216"/>
    </row>
    <row r="82" spans="3:24" ht="12.75">
      <c r="C82" s="219">
        <v>72</v>
      </c>
      <c r="D82" s="206" t="s">
        <v>410</v>
      </c>
      <c r="E82" s="207">
        <f t="shared" si="6"/>
        <v>743.8249999999999</v>
      </c>
      <c r="F82" s="228">
        <f t="shared" si="6"/>
        <v>743.8249999999999</v>
      </c>
      <c r="G82" s="209">
        <f>K82+O82+S82+W82</f>
        <v>247.74300000000002</v>
      </c>
      <c r="H82" s="210"/>
      <c r="I82" s="211">
        <f>J82+L82</f>
        <v>514.7489999999999</v>
      </c>
      <c r="J82" s="209">
        <f>SUM(J83:J94)</f>
        <v>514.7489999999999</v>
      </c>
      <c r="K82" s="209">
        <f>SUM(K83:K94)</f>
        <v>114.977</v>
      </c>
      <c r="L82" s="216"/>
      <c r="M82" s="207">
        <f>N82+P82</f>
        <v>217.012</v>
      </c>
      <c r="N82" s="209">
        <f>SUM(N83:N94)</f>
        <v>217.012</v>
      </c>
      <c r="O82" s="209">
        <f>SUM(O83:O94)</f>
        <v>123.556</v>
      </c>
      <c r="P82" s="214"/>
      <c r="Q82" s="211">
        <f>+R82+T82</f>
        <v>12.064</v>
      </c>
      <c r="R82" s="209">
        <f>+R86+R88+R93+R94</f>
        <v>12.064</v>
      </c>
      <c r="S82" s="209">
        <f>+S86+S88+S93+S94</f>
        <v>9.21</v>
      </c>
      <c r="T82" s="216"/>
      <c r="U82" s="196"/>
      <c r="V82" s="203"/>
      <c r="W82" s="203"/>
      <c r="X82" s="216"/>
    </row>
    <row r="83" spans="3:24" ht="12.75">
      <c r="C83" s="219">
        <v>73</v>
      </c>
      <c r="D83" s="202" t="s">
        <v>411</v>
      </c>
      <c r="E83" s="194">
        <f aca="true" t="shared" si="9" ref="E83:G107">I83+M83+Q83+U83</f>
        <v>20</v>
      </c>
      <c r="F83" s="223">
        <f t="shared" si="9"/>
        <v>20</v>
      </c>
      <c r="G83" s="203"/>
      <c r="H83" s="214"/>
      <c r="I83" s="196">
        <f>J83+L83</f>
        <v>20</v>
      </c>
      <c r="J83" s="203">
        <v>20</v>
      </c>
      <c r="K83" s="203"/>
      <c r="L83" s="216"/>
      <c r="M83" s="194"/>
      <c r="N83" s="203"/>
      <c r="O83" s="203"/>
      <c r="P83" s="214"/>
      <c r="Q83" s="196"/>
      <c r="R83" s="203"/>
      <c r="S83" s="203"/>
      <c r="T83" s="216"/>
      <c r="U83" s="196"/>
      <c r="V83" s="203"/>
      <c r="W83" s="203"/>
      <c r="X83" s="216"/>
    </row>
    <row r="84" spans="3:24" ht="12.75">
      <c r="C84" s="219">
        <f>+C83+1</f>
        <v>74</v>
      </c>
      <c r="D84" s="202" t="s">
        <v>412</v>
      </c>
      <c r="E84" s="194">
        <f t="shared" si="9"/>
        <v>3</v>
      </c>
      <c r="F84" s="223">
        <f t="shared" si="9"/>
        <v>3</v>
      </c>
      <c r="G84" s="203"/>
      <c r="H84" s="214"/>
      <c r="I84" s="196">
        <f>J84+L84</f>
        <v>3</v>
      </c>
      <c r="J84" s="203">
        <v>3</v>
      </c>
      <c r="K84" s="203"/>
      <c r="L84" s="216"/>
      <c r="M84" s="194"/>
      <c r="N84" s="203"/>
      <c r="O84" s="203"/>
      <c r="P84" s="214"/>
      <c r="Q84" s="196"/>
      <c r="R84" s="203"/>
      <c r="S84" s="203"/>
      <c r="T84" s="216"/>
      <c r="U84" s="196"/>
      <c r="V84" s="203"/>
      <c r="W84" s="203"/>
      <c r="X84" s="216"/>
    </row>
    <row r="85" spans="3:24" ht="12.75">
      <c r="C85" s="219">
        <f>+C84+1</f>
        <v>75</v>
      </c>
      <c r="D85" s="202" t="s">
        <v>413</v>
      </c>
      <c r="E85" s="194">
        <f t="shared" si="9"/>
        <v>316.9</v>
      </c>
      <c r="F85" s="223">
        <f t="shared" si="9"/>
        <v>316.9</v>
      </c>
      <c r="G85" s="203"/>
      <c r="H85" s="214"/>
      <c r="I85" s="196">
        <f>J85+L85</f>
        <v>316.9</v>
      </c>
      <c r="J85" s="203">
        <f>350-33.1</f>
        <v>316.9</v>
      </c>
      <c r="K85" s="203"/>
      <c r="L85" s="216"/>
      <c r="M85" s="194"/>
      <c r="N85" s="203"/>
      <c r="O85" s="203"/>
      <c r="P85" s="214"/>
      <c r="Q85" s="196"/>
      <c r="R85" s="203"/>
      <c r="S85" s="203"/>
      <c r="T85" s="216"/>
      <c r="U85" s="196"/>
      <c r="V85" s="203"/>
      <c r="W85" s="203"/>
      <c r="X85" s="216"/>
    </row>
    <row r="86" spans="3:24" ht="12.75">
      <c r="C86" s="219">
        <f>+C85+1</f>
        <v>76</v>
      </c>
      <c r="D86" s="239" t="s">
        <v>414</v>
      </c>
      <c r="E86" s="194">
        <f t="shared" si="9"/>
        <v>5.664</v>
      </c>
      <c r="F86" s="223">
        <f t="shared" si="9"/>
        <v>5.664</v>
      </c>
      <c r="G86" s="203">
        <f>K86+O86+S86+W86</f>
        <v>4.324</v>
      </c>
      <c r="H86" s="214"/>
      <c r="I86" s="196"/>
      <c r="J86" s="203"/>
      <c r="K86" s="203"/>
      <c r="L86" s="216"/>
      <c r="M86" s="194"/>
      <c r="N86" s="203"/>
      <c r="O86" s="203"/>
      <c r="P86" s="214"/>
      <c r="Q86" s="196">
        <f>+R86</f>
        <v>5.664</v>
      </c>
      <c r="R86" s="203">
        <v>5.664</v>
      </c>
      <c r="S86" s="203">
        <v>4.324</v>
      </c>
      <c r="T86" s="216"/>
      <c r="U86" s="196"/>
      <c r="V86" s="203"/>
      <c r="W86" s="203"/>
      <c r="X86" s="216"/>
    </row>
    <row r="87" spans="3:24" ht="25.5">
      <c r="C87" s="219">
        <v>77</v>
      </c>
      <c r="D87" s="355" t="s">
        <v>616</v>
      </c>
      <c r="E87" s="194">
        <f aca="true" t="shared" si="10" ref="E87:F89">I87+M87+Q87+U87</f>
        <v>156.5</v>
      </c>
      <c r="F87" s="223">
        <f t="shared" si="10"/>
        <v>156.5</v>
      </c>
      <c r="G87" s="203">
        <f>K87+O87+S87+W87</f>
        <v>119.484</v>
      </c>
      <c r="H87" s="214"/>
      <c r="I87" s="196"/>
      <c r="J87" s="203"/>
      <c r="K87" s="203"/>
      <c r="L87" s="216"/>
      <c r="M87" s="194">
        <f>N87+P87</f>
        <v>156.5</v>
      </c>
      <c r="N87" s="203">
        <v>156.5</v>
      </c>
      <c r="O87" s="203">
        <v>119.484</v>
      </c>
      <c r="P87" s="214"/>
      <c r="Q87" s="196"/>
      <c r="R87" s="203"/>
      <c r="S87" s="203"/>
      <c r="T87" s="216"/>
      <c r="U87" s="196"/>
      <c r="V87" s="203"/>
      <c r="W87" s="203"/>
      <c r="X87" s="216"/>
    </row>
    <row r="88" spans="3:24" ht="12.75">
      <c r="C88" s="219">
        <v>78</v>
      </c>
      <c r="D88" s="202" t="s">
        <v>415</v>
      </c>
      <c r="E88" s="194">
        <f t="shared" si="10"/>
        <v>56.176</v>
      </c>
      <c r="F88" s="223">
        <f t="shared" si="10"/>
        <v>56.176</v>
      </c>
      <c r="G88" s="203"/>
      <c r="H88" s="214"/>
      <c r="I88" s="196"/>
      <c r="J88" s="203"/>
      <c r="K88" s="203"/>
      <c r="L88" s="216"/>
      <c r="M88" s="194">
        <f>N88+P88</f>
        <v>56.176</v>
      </c>
      <c r="N88" s="203">
        <v>56.176</v>
      </c>
      <c r="O88" s="203">
        <v>1.098</v>
      </c>
      <c r="P88" s="214"/>
      <c r="Q88" s="196"/>
      <c r="R88" s="203"/>
      <c r="S88" s="203"/>
      <c r="T88" s="216"/>
      <c r="U88" s="196"/>
      <c r="V88" s="203"/>
      <c r="W88" s="203"/>
      <c r="X88" s="216"/>
    </row>
    <row r="89" spans="3:24" ht="12.75">
      <c r="C89" s="219">
        <v>79</v>
      </c>
      <c r="D89" s="202" t="s">
        <v>416</v>
      </c>
      <c r="E89" s="194">
        <f t="shared" si="10"/>
        <v>2</v>
      </c>
      <c r="F89" s="223">
        <f t="shared" si="10"/>
        <v>2</v>
      </c>
      <c r="G89" s="203"/>
      <c r="H89" s="214"/>
      <c r="I89" s="196">
        <f>J89+L89</f>
        <v>2</v>
      </c>
      <c r="J89" s="203">
        <v>2</v>
      </c>
      <c r="K89" s="203"/>
      <c r="L89" s="216"/>
      <c r="M89" s="194"/>
      <c r="N89" s="203"/>
      <c r="O89" s="203"/>
      <c r="P89" s="214"/>
      <c r="Q89" s="196"/>
      <c r="R89" s="203"/>
      <c r="S89" s="203"/>
      <c r="T89" s="216"/>
      <c r="U89" s="196"/>
      <c r="V89" s="203"/>
      <c r="W89" s="203"/>
      <c r="X89" s="216"/>
    </row>
    <row r="90" spans="3:24" ht="12.75">
      <c r="C90" s="219">
        <v>80</v>
      </c>
      <c r="D90" s="202" t="s">
        <v>417</v>
      </c>
      <c r="E90" s="194">
        <f t="shared" si="9"/>
        <v>4.7</v>
      </c>
      <c r="F90" s="223">
        <f t="shared" si="9"/>
        <v>4.7</v>
      </c>
      <c r="G90" s="203"/>
      <c r="H90" s="214"/>
      <c r="I90" s="196">
        <f aca="true" t="shared" si="11" ref="I90:I108">J90+L90</f>
        <v>4.7</v>
      </c>
      <c r="J90" s="203">
        <f>4.9-0.2</f>
        <v>4.7</v>
      </c>
      <c r="K90" s="203"/>
      <c r="L90" s="216"/>
      <c r="M90" s="194"/>
      <c r="N90" s="203"/>
      <c r="O90" s="203"/>
      <c r="P90" s="214"/>
      <c r="Q90" s="196"/>
      <c r="R90" s="203"/>
      <c r="S90" s="203"/>
      <c r="T90" s="216"/>
      <c r="U90" s="196"/>
      <c r="V90" s="203"/>
      <c r="W90" s="203"/>
      <c r="X90" s="216"/>
    </row>
    <row r="91" spans="3:24" ht="25.5">
      <c r="C91" s="219">
        <v>81</v>
      </c>
      <c r="D91" s="221" t="s">
        <v>418</v>
      </c>
      <c r="E91" s="194">
        <f t="shared" si="9"/>
        <v>9.2</v>
      </c>
      <c r="F91" s="223">
        <f t="shared" si="9"/>
        <v>9.2</v>
      </c>
      <c r="G91" s="203"/>
      <c r="H91" s="214"/>
      <c r="I91" s="196">
        <f t="shared" si="11"/>
        <v>9.2</v>
      </c>
      <c r="J91" s="203">
        <v>9.2</v>
      </c>
      <c r="K91" s="203"/>
      <c r="L91" s="216"/>
      <c r="M91" s="194"/>
      <c r="N91" s="203"/>
      <c r="O91" s="203"/>
      <c r="P91" s="214"/>
      <c r="Q91" s="196"/>
      <c r="R91" s="203"/>
      <c r="S91" s="203"/>
      <c r="T91" s="216"/>
      <c r="U91" s="196"/>
      <c r="V91" s="203"/>
      <c r="W91" s="203"/>
      <c r="X91" s="216"/>
    </row>
    <row r="92" spans="3:24" ht="12.75">
      <c r="C92" s="219">
        <v>82</v>
      </c>
      <c r="D92" s="202" t="s">
        <v>419</v>
      </c>
      <c r="E92" s="194">
        <f t="shared" si="9"/>
        <v>3</v>
      </c>
      <c r="F92" s="223">
        <f t="shared" si="9"/>
        <v>3</v>
      </c>
      <c r="G92" s="203"/>
      <c r="H92" s="214"/>
      <c r="I92" s="196">
        <f t="shared" si="11"/>
        <v>3</v>
      </c>
      <c r="J92" s="203">
        <v>3</v>
      </c>
      <c r="K92" s="203"/>
      <c r="L92" s="216"/>
      <c r="M92" s="194"/>
      <c r="N92" s="203"/>
      <c r="O92" s="203"/>
      <c r="P92" s="214"/>
      <c r="Q92" s="196"/>
      <c r="R92" s="203"/>
      <c r="S92" s="203"/>
      <c r="T92" s="216"/>
      <c r="U92" s="196"/>
      <c r="V92" s="203"/>
      <c r="W92" s="203"/>
      <c r="X92" s="216"/>
    </row>
    <row r="93" spans="3:24" ht="12.75">
      <c r="C93" s="219">
        <v>83</v>
      </c>
      <c r="D93" s="202" t="s">
        <v>420</v>
      </c>
      <c r="E93" s="194">
        <f t="shared" si="9"/>
        <v>148.097</v>
      </c>
      <c r="F93" s="223">
        <f t="shared" si="9"/>
        <v>148.097</v>
      </c>
      <c r="G93" s="223">
        <f t="shared" si="9"/>
        <v>111.293</v>
      </c>
      <c r="H93" s="214"/>
      <c r="I93" s="196">
        <f t="shared" si="11"/>
        <v>137.361</v>
      </c>
      <c r="J93" s="203">
        <v>137.361</v>
      </c>
      <c r="K93" s="203">
        <v>103.433</v>
      </c>
      <c r="L93" s="216"/>
      <c r="M93" s="194">
        <f>N93+P93</f>
        <v>4.336</v>
      </c>
      <c r="N93" s="203">
        <v>4.336</v>
      </c>
      <c r="O93" s="203">
        <v>2.974</v>
      </c>
      <c r="P93" s="214"/>
      <c r="Q93" s="196">
        <f>+R93</f>
        <v>6.4</v>
      </c>
      <c r="R93" s="203">
        <v>6.4</v>
      </c>
      <c r="S93" s="203">
        <v>4.886</v>
      </c>
      <c r="T93" s="216"/>
      <c r="U93" s="196"/>
      <c r="V93" s="203"/>
      <c r="W93" s="203"/>
      <c r="X93" s="216"/>
    </row>
    <row r="94" spans="3:24" ht="12.75">
      <c r="C94" s="219">
        <v>84</v>
      </c>
      <c r="D94" s="202" t="s">
        <v>421</v>
      </c>
      <c r="E94" s="194">
        <f t="shared" si="9"/>
        <v>18.588</v>
      </c>
      <c r="F94" s="223">
        <f t="shared" si="9"/>
        <v>18.588</v>
      </c>
      <c r="G94" s="223">
        <f t="shared" si="9"/>
        <v>11.544</v>
      </c>
      <c r="H94" s="214"/>
      <c r="I94" s="196">
        <f t="shared" si="11"/>
        <v>18.588</v>
      </c>
      <c r="J94" s="203">
        <v>18.588</v>
      </c>
      <c r="K94" s="203">
        <v>11.544</v>
      </c>
      <c r="L94" s="216"/>
      <c r="M94" s="194"/>
      <c r="N94" s="203"/>
      <c r="O94" s="203"/>
      <c r="P94" s="214"/>
      <c r="Q94" s="196"/>
      <c r="R94" s="203"/>
      <c r="S94" s="203"/>
      <c r="T94" s="216"/>
      <c r="U94" s="196"/>
      <c r="V94" s="203"/>
      <c r="W94" s="203"/>
      <c r="X94" s="216"/>
    </row>
    <row r="95" spans="3:24" ht="12.75">
      <c r="C95" s="219">
        <v>85</v>
      </c>
      <c r="D95" s="206" t="s">
        <v>84</v>
      </c>
      <c r="E95" s="207">
        <f t="shared" si="9"/>
        <v>689.5930000000001</v>
      </c>
      <c r="F95" s="228">
        <f t="shared" si="9"/>
        <v>689.5930000000001</v>
      </c>
      <c r="G95" s="209">
        <f>K95+O95+S95+W95</f>
        <v>492.854</v>
      </c>
      <c r="H95" s="210"/>
      <c r="I95" s="211">
        <f>J95+L95</f>
        <v>31.993</v>
      </c>
      <c r="J95" s="209">
        <v>31.993</v>
      </c>
      <c r="K95" s="209">
        <v>24.426</v>
      </c>
      <c r="L95" s="212"/>
      <c r="M95" s="207">
        <f>N95+P95</f>
        <v>657.6</v>
      </c>
      <c r="N95" s="209">
        <v>657.6</v>
      </c>
      <c r="O95" s="218">
        <v>468.428</v>
      </c>
      <c r="P95" s="210"/>
      <c r="Q95" s="211"/>
      <c r="R95" s="209"/>
      <c r="S95" s="209"/>
      <c r="T95" s="212"/>
      <c r="U95" s="211"/>
      <c r="V95" s="209"/>
      <c r="W95" s="209"/>
      <c r="X95" s="212"/>
    </row>
    <row r="96" spans="3:24" ht="12.75">
      <c r="C96" s="219">
        <v>86</v>
      </c>
      <c r="D96" s="206" t="s">
        <v>111</v>
      </c>
      <c r="E96" s="207">
        <f t="shared" si="9"/>
        <v>319.339</v>
      </c>
      <c r="F96" s="228">
        <f t="shared" si="9"/>
        <v>309.339</v>
      </c>
      <c r="G96" s="209">
        <f>K96+O96+S96+W96</f>
        <v>181.502</v>
      </c>
      <c r="H96" s="210">
        <f>L96+P96+T96+X96</f>
        <v>10</v>
      </c>
      <c r="I96" s="211">
        <f t="shared" si="11"/>
        <v>273.539</v>
      </c>
      <c r="J96" s="209">
        <f>279.239-5.7</f>
        <v>273.539</v>
      </c>
      <c r="K96" s="209">
        <f>176.102-0.6</f>
        <v>175.502</v>
      </c>
      <c r="L96" s="212"/>
      <c r="M96" s="207"/>
      <c r="N96" s="209"/>
      <c r="O96" s="209"/>
      <c r="P96" s="210"/>
      <c r="Q96" s="211"/>
      <c r="R96" s="209"/>
      <c r="S96" s="209"/>
      <c r="T96" s="212"/>
      <c r="U96" s="240">
        <f aca="true" t="shared" si="12" ref="U96:U121">V96+X96</f>
        <v>45.8</v>
      </c>
      <c r="V96" s="209">
        <v>35.8</v>
      </c>
      <c r="W96" s="209">
        <v>6</v>
      </c>
      <c r="X96" s="212">
        <v>10</v>
      </c>
    </row>
    <row r="97" spans="3:24" ht="12.75">
      <c r="C97" s="219">
        <v>87</v>
      </c>
      <c r="D97" s="241" t="s">
        <v>422</v>
      </c>
      <c r="E97" s="194">
        <f t="shared" si="9"/>
        <v>3</v>
      </c>
      <c r="F97" s="223">
        <f t="shared" si="9"/>
        <v>3</v>
      </c>
      <c r="G97" s="203"/>
      <c r="H97" s="214"/>
      <c r="I97" s="196">
        <f t="shared" si="11"/>
        <v>3</v>
      </c>
      <c r="J97" s="203">
        <v>3</v>
      </c>
      <c r="K97" s="209"/>
      <c r="L97" s="212"/>
      <c r="M97" s="207"/>
      <c r="N97" s="209"/>
      <c r="O97" s="209"/>
      <c r="P97" s="210"/>
      <c r="Q97" s="211"/>
      <c r="R97" s="209"/>
      <c r="S97" s="209"/>
      <c r="T97" s="212"/>
      <c r="U97" s="240"/>
      <c r="V97" s="209"/>
      <c r="W97" s="209"/>
      <c r="X97" s="212"/>
    </row>
    <row r="98" spans="3:24" ht="12.75">
      <c r="C98" s="219">
        <v>88</v>
      </c>
      <c r="D98" s="242" t="s">
        <v>423</v>
      </c>
      <c r="E98" s="194">
        <f t="shared" si="9"/>
        <v>10</v>
      </c>
      <c r="F98" s="223">
        <f t="shared" si="9"/>
        <v>10</v>
      </c>
      <c r="G98" s="203"/>
      <c r="H98" s="214"/>
      <c r="I98" s="196">
        <f t="shared" si="11"/>
        <v>10</v>
      </c>
      <c r="J98" s="203">
        <v>10</v>
      </c>
      <c r="K98" s="209"/>
      <c r="L98" s="212"/>
      <c r="M98" s="207"/>
      <c r="N98" s="209"/>
      <c r="O98" s="209"/>
      <c r="P98" s="210"/>
      <c r="Q98" s="211"/>
      <c r="R98" s="209"/>
      <c r="S98" s="209"/>
      <c r="T98" s="212"/>
      <c r="U98" s="240"/>
      <c r="V98" s="209"/>
      <c r="W98" s="209"/>
      <c r="X98" s="212"/>
    </row>
    <row r="99" spans="3:24" ht="12.75">
      <c r="C99" s="219">
        <v>89</v>
      </c>
      <c r="D99" s="206" t="s">
        <v>112</v>
      </c>
      <c r="E99" s="207">
        <f t="shared" si="9"/>
        <v>428.135</v>
      </c>
      <c r="F99" s="228">
        <f t="shared" si="9"/>
        <v>413.735</v>
      </c>
      <c r="G99" s="209">
        <f>K99+O99+S99+W99</f>
        <v>241.766</v>
      </c>
      <c r="H99" s="210">
        <f>L99++P99+T99+X99</f>
        <v>14.4</v>
      </c>
      <c r="I99" s="211">
        <f t="shared" si="11"/>
        <v>370.135</v>
      </c>
      <c r="J99" s="209">
        <f>376.835-6.7</f>
        <v>370.135</v>
      </c>
      <c r="K99" s="209">
        <v>241.766</v>
      </c>
      <c r="L99" s="212"/>
      <c r="M99" s="194"/>
      <c r="N99" s="203"/>
      <c r="O99" s="203"/>
      <c r="P99" s="214"/>
      <c r="Q99" s="211"/>
      <c r="R99" s="203"/>
      <c r="S99" s="203"/>
      <c r="T99" s="216"/>
      <c r="U99" s="240">
        <f t="shared" si="12"/>
        <v>58</v>
      </c>
      <c r="V99" s="209">
        <v>43.6</v>
      </c>
      <c r="W99" s="209"/>
      <c r="X99" s="212">
        <v>14.4</v>
      </c>
    </row>
    <row r="100" spans="3:24" ht="12.75">
      <c r="C100" s="219">
        <v>90</v>
      </c>
      <c r="D100" s="243" t="s">
        <v>424</v>
      </c>
      <c r="E100" s="194">
        <f t="shared" si="9"/>
        <v>3</v>
      </c>
      <c r="F100" s="223">
        <f t="shared" si="9"/>
        <v>3</v>
      </c>
      <c r="G100" s="203"/>
      <c r="H100" s="214"/>
      <c r="I100" s="196">
        <f t="shared" si="11"/>
        <v>3</v>
      </c>
      <c r="J100" s="203">
        <v>3</v>
      </c>
      <c r="K100" s="209"/>
      <c r="L100" s="212"/>
      <c r="M100" s="194"/>
      <c r="N100" s="203"/>
      <c r="O100" s="203"/>
      <c r="P100" s="214"/>
      <c r="Q100" s="211"/>
      <c r="R100" s="203"/>
      <c r="S100" s="203"/>
      <c r="T100" s="216"/>
      <c r="U100" s="211"/>
      <c r="V100" s="209"/>
      <c r="W100" s="209"/>
      <c r="X100" s="212"/>
    </row>
    <row r="101" spans="3:24" ht="12.75">
      <c r="C101" s="219">
        <v>91</v>
      </c>
      <c r="D101" s="243" t="s">
        <v>425</v>
      </c>
      <c r="E101" s="194">
        <f t="shared" si="9"/>
        <v>1.2</v>
      </c>
      <c r="F101" s="223">
        <f t="shared" si="9"/>
        <v>1.2</v>
      </c>
      <c r="G101" s="203"/>
      <c r="H101" s="214"/>
      <c r="I101" s="196">
        <f t="shared" si="11"/>
        <v>1.2</v>
      </c>
      <c r="J101" s="203">
        <v>1.2</v>
      </c>
      <c r="K101" s="209"/>
      <c r="L101" s="212"/>
      <c r="M101" s="194"/>
      <c r="N101" s="203"/>
      <c r="O101" s="203"/>
      <c r="P101" s="214"/>
      <c r="Q101" s="211"/>
      <c r="R101" s="203"/>
      <c r="S101" s="203"/>
      <c r="T101" s="216"/>
      <c r="U101" s="211"/>
      <c r="V101" s="209"/>
      <c r="W101" s="209"/>
      <c r="X101" s="212"/>
    </row>
    <row r="102" spans="3:24" ht="12.75">
      <c r="C102" s="219">
        <v>92</v>
      </c>
      <c r="D102" s="244" t="s">
        <v>269</v>
      </c>
      <c r="E102" s="207">
        <f t="shared" si="9"/>
        <v>603.5319999999999</v>
      </c>
      <c r="F102" s="228">
        <f t="shared" si="9"/>
        <v>603.5319999999999</v>
      </c>
      <c r="G102" s="209">
        <f>K102+O102+S102+W102</f>
        <v>414.036</v>
      </c>
      <c r="H102" s="210"/>
      <c r="I102" s="211">
        <f t="shared" si="11"/>
        <v>600.5319999999999</v>
      </c>
      <c r="J102" s="209">
        <f>606.132-5.6</f>
        <v>600.5319999999999</v>
      </c>
      <c r="K102" s="209">
        <v>414.036</v>
      </c>
      <c r="L102" s="212"/>
      <c r="M102" s="194"/>
      <c r="N102" s="203"/>
      <c r="O102" s="203"/>
      <c r="P102" s="214"/>
      <c r="Q102" s="211"/>
      <c r="R102" s="209"/>
      <c r="S102" s="209"/>
      <c r="T102" s="216"/>
      <c r="U102" s="211">
        <f t="shared" si="12"/>
        <v>3</v>
      </c>
      <c r="V102" s="209">
        <v>3</v>
      </c>
      <c r="W102" s="209"/>
      <c r="X102" s="212"/>
    </row>
    <row r="103" spans="3:24" ht="12.75">
      <c r="C103" s="219">
        <v>93</v>
      </c>
      <c r="D103" s="227" t="s">
        <v>426</v>
      </c>
      <c r="E103" s="207">
        <f t="shared" si="9"/>
        <v>354.558</v>
      </c>
      <c r="F103" s="228">
        <f t="shared" si="9"/>
        <v>353.558</v>
      </c>
      <c r="G103" s="209">
        <f>K103+O103+S103+W103</f>
        <v>203.882</v>
      </c>
      <c r="H103" s="210">
        <f>L103++P103+T103+X103</f>
        <v>1</v>
      </c>
      <c r="I103" s="211">
        <f t="shared" si="11"/>
        <v>322.522</v>
      </c>
      <c r="J103" s="209">
        <f>344.122-21.6</f>
        <v>322.522</v>
      </c>
      <c r="K103" s="209">
        <f>196.975-8.4</f>
        <v>188.575</v>
      </c>
      <c r="L103" s="212"/>
      <c r="M103" s="207">
        <f>N103+P103</f>
        <v>2.036</v>
      </c>
      <c r="N103" s="209">
        <v>2.036</v>
      </c>
      <c r="O103" s="209">
        <v>1.555</v>
      </c>
      <c r="P103" s="214"/>
      <c r="Q103" s="211">
        <f>+R103</f>
        <v>15</v>
      </c>
      <c r="R103" s="209">
        <v>15</v>
      </c>
      <c r="S103" s="209">
        <v>11.452</v>
      </c>
      <c r="T103" s="216"/>
      <c r="U103" s="211">
        <f t="shared" si="12"/>
        <v>15</v>
      </c>
      <c r="V103" s="209">
        <v>14</v>
      </c>
      <c r="W103" s="209">
        <v>2.3</v>
      </c>
      <c r="X103" s="212">
        <v>1</v>
      </c>
    </row>
    <row r="104" spans="3:24" ht="12.75">
      <c r="C104" s="219">
        <v>94</v>
      </c>
      <c r="D104" s="245" t="s">
        <v>427</v>
      </c>
      <c r="E104" s="194">
        <f t="shared" si="9"/>
        <v>28.442</v>
      </c>
      <c r="F104" s="223">
        <f t="shared" si="9"/>
        <v>28.442</v>
      </c>
      <c r="G104" s="209"/>
      <c r="H104" s="210"/>
      <c r="I104" s="196">
        <f t="shared" si="11"/>
        <v>28.442</v>
      </c>
      <c r="J104" s="203">
        <v>28.442</v>
      </c>
      <c r="K104" s="209"/>
      <c r="L104" s="212"/>
      <c r="M104" s="194"/>
      <c r="N104" s="203"/>
      <c r="O104" s="203"/>
      <c r="P104" s="214"/>
      <c r="Q104" s="211"/>
      <c r="R104" s="203"/>
      <c r="S104" s="203"/>
      <c r="T104" s="216"/>
      <c r="U104" s="211"/>
      <c r="V104" s="209"/>
      <c r="W104" s="209"/>
      <c r="X104" s="212"/>
    </row>
    <row r="105" spans="3:24" ht="12.75">
      <c r="C105" s="219">
        <v>95</v>
      </c>
      <c r="D105" s="245" t="s">
        <v>428</v>
      </c>
      <c r="E105" s="194">
        <f t="shared" si="9"/>
        <v>2</v>
      </c>
      <c r="F105" s="223">
        <f t="shared" si="9"/>
        <v>2</v>
      </c>
      <c r="G105" s="209"/>
      <c r="H105" s="210"/>
      <c r="I105" s="196">
        <f t="shared" si="11"/>
        <v>2</v>
      </c>
      <c r="J105" s="203">
        <v>2</v>
      </c>
      <c r="K105" s="209"/>
      <c r="L105" s="212"/>
      <c r="M105" s="194"/>
      <c r="N105" s="203"/>
      <c r="O105" s="203"/>
      <c r="P105" s="214"/>
      <c r="Q105" s="211"/>
      <c r="R105" s="203"/>
      <c r="S105" s="203"/>
      <c r="T105" s="216"/>
      <c r="U105" s="211"/>
      <c r="V105" s="209"/>
      <c r="W105" s="209"/>
      <c r="X105" s="212"/>
    </row>
    <row r="106" spans="3:24" ht="12.75">
      <c r="C106" s="219">
        <v>96</v>
      </c>
      <c r="D106" s="245" t="s">
        <v>429</v>
      </c>
      <c r="E106" s="194">
        <f t="shared" si="9"/>
        <v>3</v>
      </c>
      <c r="F106" s="223">
        <f t="shared" si="9"/>
        <v>3</v>
      </c>
      <c r="G106" s="209"/>
      <c r="H106" s="210"/>
      <c r="I106" s="196">
        <f t="shared" si="11"/>
        <v>3</v>
      </c>
      <c r="J106" s="203">
        <v>3</v>
      </c>
      <c r="K106" s="209"/>
      <c r="L106" s="212"/>
      <c r="M106" s="194"/>
      <c r="N106" s="203"/>
      <c r="O106" s="203"/>
      <c r="P106" s="214"/>
      <c r="Q106" s="211"/>
      <c r="R106" s="203"/>
      <c r="S106" s="203"/>
      <c r="T106" s="216"/>
      <c r="U106" s="211"/>
      <c r="V106" s="209"/>
      <c r="W106" s="209"/>
      <c r="X106" s="212"/>
    </row>
    <row r="107" spans="3:24" ht="25.5">
      <c r="C107" s="246">
        <v>97</v>
      </c>
      <c r="D107" s="247" t="s">
        <v>430</v>
      </c>
      <c r="E107" s="248">
        <f t="shared" si="9"/>
        <v>10</v>
      </c>
      <c r="F107" s="249">
        <f t="shared" si="9"/>
        <v>10</v>
      </c>
      <c r="G107" s="250"/>
      <c r="H107" s="251"/>
      <c r="I107" s="252">
        <f t="shared" si="11"/>
        <v>10</v>
      </c>
      <c r="J107" s="249">
        <v>10</v>
      </c>
      <c r="K107" s="250"/>
      <c r="L107" s="253"/>
      <c r="M107" s="248"/>
      <c r="N107" s="249"/>
      <c r="O107" s="249"/>
      <c r="P107" s="254"/>
      <c r="Q107" s="255"/>
      <c r="R107" s="249"/>
      <c r="S107" s="249"/>
      <c r="T107" s="256"/>
      <c r="U107" s="255"/>
      <c r="V107" s="250"/>
      <c r="W107" s="250"/>
      <c r="X107" s="253"/>
    </row>
    <row r="108" spans="3:24" ht="12.75">
      <c r="C108" s="219">
        <v>98</v>
      </c>
      <c r="D108" s="257" t="s">
        <v>179</v>
      </c>
      <c r="E108" s="207">
        <f>I108+M108+Q108+U108</f>
        <v>398.41200000000003</v>
      </c>
      <c r="F108" s="228">
        <f>J108+N108+R108+V108</f>
        <v>398.41200000000003</v>
      </c>
      <c r="G108" s="209">
        <f>K108+O108+S108+W108</f>
        <v>257.712</v>
      </c>
      <c r="H108" s="210"/>
      <c r="I108" s="211">
        <f t="shared" si="11"/>
        <v>338.41200000000003</v>
      </c>
      <c r="J108" s="209">
        <f>342.612-4.2</f>
        <v>338.41200000000003</v>
      </c>
      <c r="K108" s="209">
        <v>231.912</v>
      </c>
      <c r="L108" s="212"/>
      <c r="M108" s="207"/>
      <c r="N108" s="209"/>
      <c r="O108" s="209"/>
      <c r="P108" s="214"/>
      <c r="Q108" s="211"/>
      <c r="R108" s="203"/>
      <c r="S108" s="203"/>
      <c r="T108" s="216"/>
      <c r="U108" s="211">
        <f t="shared" si="12"/>
        <v>60</v>
      </c>
      <c r="V108" s="209">
        <v>60</v>
      </c>
      <c r="W108" s="209">
        <v>25.8</v>
      </c>
      <c r="X108" s="212"/>
    </row>
    <row r="109" spans="3:24" ht="12.75">
      <c r="C109" s="219">
        <f aca="true" t="shared" si="13" ref="C109:C153">+C108+1</f>
        <v>99</v>
      </c>
      <c r="D109" s="230" t="s">
        <v>115</v>
      </c>
      <c r="E109" s="207">
        <f aca="true" t="shared" si="14" ref="E109:H122">I109+M109+Q109+U109</f>
        <v>248.5</v>
      </c>
      <c r="F109" s="228">
        <f t="shared" si="14"/>
        <v>248.5</v>
      </c>
      <c r="G109" s="209">
        <f>K109+O109+S109+W109</f>
        <v>142.3</v>
      </c>
      <c r="H109" s="210"/>
      <c r="I109" s="211"/>
      <c r="J109" s="209"/>
      <c r="K109" s="209"/>
      <c r="L109" s="212"/>
      <c r="M109" s="207">
        <f>N109+P109</f>
        <v>113.5</v>
      </c>
      <c r="N109" s="209">
        <v>113.5</v>
      </c>
      <c r="O109" s="218">
        <v>65</v>
      </c>
      <c r="P109" s="214"/>
      <c r="Q109" s="211"/>
      <c r="R109" s="203"/>
      <c r="S109" s="203"/>
      <c r="T109" s="216"/>
      <c r="U109" s="211">
        <f t="shared" si="12"/>
        <v>135</v>
      </c>
      <c r="V109" s="209">
        <v>135</v>
      </c>
      <c r="W109" s="209">
        <v>77.3</v>
      </c>
      <c r="X109" s="216"/>
    </row>
    <row r="110" spans="3:24" ht="12.75">
      <c r="C110" s="219">
        <f t="shared" si="13"/>
        <v>100</v>
      </c>
      <c r="D110" s="258" t="s">
        <v>431</v>
      </c>
      <c r="E110" s="194">
        <f t="shared" si="14"/>
        <v>135.7</v>
      </c>
      <c r="F110" s="223">
        <f t="shared" si="14"/>
        <v>135.7</v>
      </c>
      <c r="G110" s="203">
        <f>K110+O110+S110+W110</f>
        <v>82.9</v>
      </c>
      <c r="H110" s="210"/>
      <c r="I110" s="211"/>
      <c r="J110" s="203"/>
      <c r="K110" s="203"/>
      <c r="L110" s="212"/>
      <c r="M110" s="194">
        <f>N110+P110</f>
        <v>62.4</v>
      </c>
      <c r="N110" s="203">
        <v>62.4</v>
      </c>
      <c r="O110" s="203">
        <v>38.1</v>
      </c>
      <c r="P110" s="214"/>
      <c r="Q110" s="196"/>
      <c r="R110" s="203"/>
      <c r="S110" s="203"/>
      <c r="T110" s="216"/>
      <c r="U110" s="196">
        <f t="shared" si="12"/>
        <v>73.3</v>
      </c>
      <c r="V110" s="203">
        <v>73.3</v>
      </c>
      <c r="W110" s="203">
        <v>44.8</v>
      </c>
      <c r="X110" s="212"/>
    </row>
    <row r="111" spans="3:24" ht="25.5">
      <c r="C111" s="219">
        <v>101</v>
      </c>
      <c r="D111" s="230" t="s">
        <v>196</v>
      </c>
      <c r="E111" s="207">
        <f t="shared" si="14"/>
        <v>48.897999999999996</v>
      </c>
      <c r="F111" s="228">
        <f t="shared" si="14"/>
        <v>48.897999999999996</v>
      </c>
      <c r="G111" s="209">
        <f>K111+O111+S111+W111</f>
        <v>24.540000000000003</v>
      </c>
      <c r="H111" s="210"/>
      <c r="I111" s="211">
        <f aca="true" t="shared" si="15" ref="I111:I122">J111+L111</f>
        <v>34.797999999999995</v>
      </c>
      <c r="J111" s="209">
        <f>35.498-0.7</f>
        <v>34.797999999999995</v>
      </c>
      <c r="K111" s="209">
        <v>24.036</v>
      </c>
      <c r="L111" s="212"/>
      <c r="M111" s="207"/>
      <c r="N111" s="209"/>
      <c r="O111" s="209"/>
      <c r="P111" s="214"/>
      <c r="Q111" s="196"/>
      <c r="R111" s="203"/>
      <c r="S111" s="203"/>
      <c r="T111" s="216"/>
      <c r="U111" s="211">
        <f t="shared" si="12"/>
        <v>14.1</v>
      </c>
      <c r="V111" s="209">
        <v>14.1</v>
      </c>
      <c r="W111" s="209">
        <v>0.504</v>
      </c>
      <c r="X111" s="212"/>
    </row>
    <row r="112" spans="3:24" ht="12.75">
      <c r="C112" s="219">
        <v>102</v>
      </c>
      <c r="D112" s="206" t="s">
        <v>116</v>
      </c>
      <c r="E112" s="207">
        <f t="shared" si="14"/>
        <v>179.309</v>
      </c>
      <c r="F112" s="228">
        <f t="shared" si="14"/>
        <v>179.309</v>
      </c>
      <c r="G112" s="209">
        <f t="shared" si="14"/>
        <v>85.972</v>
      </c>
      <c r="H112" s="210"/>
      <c r="I112" s="211">
        <f t="shared" si="15"/>
        <v>136.805</v>
      </c>
      <c r="J112" s="209">
        <f>144.905-8.1</f>
        <v>136.805</v>
      </c>
      <c r="K112" s="209">
        <v>73.122</v>
      </c>
      <c r="L112" s="212"/>
      <c r="M112" s="207">
        <f aca="true" t="shared" si="16" ref="M112:M121">N112+P112</f>
        <v>42.104</v>
      </c>
      <c r="N112" s="209">
        <v>42.104</v>
      </c>
      <c r="O112" s="209">
        <v>12.85</v>
      </c>
      <c r="P112" s="214"/>
      <c r="Q112" s="196"/>
      <c r="R112" s="203"/>
      <c r="S112" s="203"/>
      <c r="T112" s="216"/>
      <c r="U112" s="211">
        <f t="shared" si="12"/>
        <v>0.4</v>
      </c>
      <c r="V112" s="209">
        <v>0.4</v>
      </c>
      <c r="W112" s="209"/>
      <c r="X112" s="212"/>
    </row>
    <row r="113" spans="3:24" ht="12.75">
      <c r="C113" s="219">
        <f t="shared" si="13"/>
        <v>103</v>
      </c>
      <c r="D113" s="206" t="s">
        <v>117</v>
      </c>
      <c r="E113" s="207">
        <f t="shared" si="14"/>
        <v>170.48299999999998</v>
      </c>
      <c r="F113" s="228">
        <f t="shared" si="14"/>
        <v>170.48299999999998</v>
      </c>
      <c r="G113" s="209">
        <f t="shared" si="14"/>
        <v>99.366</v>
      </c>
      <c r="H113" s="210"/>
      <c r="I113" s="211">
        <f t="shared" si="15"/>
        <v>138.231</v>
      </c>
      <c r="J113" s="209">
        <f>139.531-1.3</f>
        <v>138.231</v>
      </c>
      <c r="K113" s="209">
        <f>86.586-0.3</f>
        <v>86.286</v>
      </c>
      <c r="L113" s="212"/>
      <c r="M113" s="207">
        <f t="shared" si="16"/>
        <v>30.652</v>
      </c>
      <c r="N113" s="209">
        <v>30.652</v>
      </c>
      <c r="O113" s="209">
        <v>13.08</v>
      </c>
      <c r="P113" s="214"/>
      <c r="Q113" s="211"/>
      <c r="R113" s="209"/>
      <c r="S113" s="203"/>
      <c r="T113" s="216"/>
      <c r="U113" s="211">
        <f t="shared" si="12"/>
        <v>1.6</v>
      </c>
      <c r="V113" s="209">
        <v>1.6</v>
      </c>
      <c r="W113" s="209"/>
      <c r="X113" s="212"/>
    </row>
    <row r="114" spans="3:24" ht="12.75">
      <c r="C114" s="219">
        <f t="shared" si="13"/>
        <v>104</v>
      </c>
      <c r="D114" s="206" t="s">
        <v>118</v>
      </c>
      <c r="E114" s="207">
        <f t="shared" si="14"/>
        <v>210.72500000000002</v>
      </c>
      <c r="F114" s="228">
        <f t="shared" si="14"/>
        <v>210.72500000000002</v>
      </c>
      <c r="G114" s="209">
        <f t="shared" si="14"/>
        <v>121.749</v>
      </c>
      <c r="H114" s="210"/>
      <c r="I114" s="211">
        <f t="shared" si="15"/>
        <v>175.823</v>
      </c>
      <c r="J114" s="209">
        <f>180.723-4.9</f>
        <v>175.823</v>
      </c>
      <c r="K114" s="209">
        <f>109.379-0.9</f>
        <v>108.479</v>
      </c>
      <c r="L114" s="212"/>
      <c r="M114" s="207">
        <f t="shared" si="16"/>
        <v>30.902</v>
      </c>
      <c r="N114" s="209">
        <v>30.902</v>
      </c>
      <c r="O114" s="209">
        <v>13.27</v>
      </c>
      <c r="P114" s="214"/>
      <c r="Q114" s="196"/>
      <c r="R114" s="203"/>
      <c r="S114" s="203"/>
      <c r="T114" s="216"/>
      <c r="U114" s="211">
        <f t="shared" si="12"/>
        <v>4</v>
      </c>
      <c r="V114" s="209">
        <v>4</v>
      </c>
      <c r="W114" s="209"/>
      <c r="X114" s="212"/>
    </row>
    <row r="115" spans="3:24" ht="12.75">
      <c r="C115" s="219">
        <f t="shared" si="13"/>
        <v>105</v>
      </c>
      <c r="D115" s="206" t="s">
        <v>119</v>
      </c>
      <c r="E115" s="207">
        <f t="shared" si="14"/>
        <v>97.229</v>
      </c>
      <c r="F115" s="228">
        <f t="shared" si="14"/>
        <v>97.229</v>
      </c>
      <c r="G115" s="209">
        <f t="shared" si="14"/>
        <v>63.122</v>
      </c>
      <c r="H115" s="210"/>
      <c r="I115" s="211">
        <f t="shared" si="15"/>
        <v>81.891</v>
      </c>
      <c r="J115" s="209">
        <f>81.991-0.1</f>
        <v>81.891</v>
      </c>
      <c r="K115" s="209">
        <v>56.492</v>
      </c>
      <c r="L115" s="212"/>
      <c r="M115" s="207">
        <f t="shared" si="16"/>
        <v>15.318</v>
      </c>
      <c r="N115" s="209">
        <v>15.318</v>
      </c>
      <c r="O115" s="209">
        <v>6.63</v>
      </c>
      <c r="P115" s="214"/>
      <c r="Q115" s="196"/>
      <c r="R115" s="203"/>
      <c r="S115" s="203"/>
      <c r="T115" s="216"/>
      <c r="U115" s="211">
        <f t="shared" si="12"/>
        <v>0.02</v>
      </c>
      <c r="V115" s="209">
        <v>0.02</v>
      </c>
      <c r="W115" s="209"/>
      <c r="X115" s="212"/>
    </row>
    <row r="116" spans="3:24" ht="12.75">
      <c r="C116" s="219">
        <f t="shared" si="13"/>
        <v>106</v>
      </c>
      <c r="D116" s="206" t="s">
        <v>120</v>
      </c>
      <c r="E116" s="207">
        <f t="shared" si="14"/>
        <v>128.75699999999998</v>
      </c>
      <c r="F116" s="228">
        <f t="shared" si="14"/>
        <v>128.75699999999998</v>
      </c>
      <c r="G116" s="209">
        <f t="shared" si="14"/>
        <v>76.549</v>
      </c>
      <c r="H116" s="210"/>
      <c r="I116" s="211">
        <f t="shared" si="15"/>
        <v>99.87899999999999</v>
      </c>
      <c r="J116" s="209">
        <f>102.579-2.7</f>
        <v>99.87899999999999</v>
      </c>
      <c r="K116" s="209">
        <f>66.159-0.4</f>
        <v>65.759</v>
      </c>
      <c r="L116" s="212"/>
      <c r="M116" s="207">
        <f t="shared" si="16"/>
        <v>23.666</v>
      </c>
      <c r="N116" s="209">
        <v>23.666</v>
      </c>
      <c r="O116" s="209">
        <v>10.07</v>
      </c>
      <c r="P116" s="214"/>
      <c r="Q116" s="196"/>
      <c r="R116" s="203"/>
      <c r="S116" s="203"/>
      <c r="T116" s="216"/>
      <c r="U116" s="211">
        <f t="shared" si="12"/>
        <v>5.212</v>
      </c>
      <c r="V116" s="209">
        <v>5.212</v>
      </c>
      <c r="W116" s="209">
        <v>0.72</v>
      </c>
      <c r="X116" s="212"/>
    </row>
    <row r="117" spans="3:24" ht="12.75">
      <c r="C117" s="219">
        <f t="shared" si="13"/>
        <v>107</v>
      </c>
      <c r="D117" s="259" t="s">
        <v>121</v>
      </c>
      <c r="E117" s="207">
        <f t="shared" si="14"/>
        <v>236.677</v>
      </c>
      <c r="F117" s="228">
        <f t="shared" si="14"/>
        <v>236.677</v>
      </c>
      <c r="G117" s="209">
        <f t="shared" si="14"/>
        <v>126.338</v>
      </c>
      <c r="H117" s="210"/>
      <c r="I117" s="211">
        <f t="shared" si="15"/>
        <v>194.167</v>
      </c>
      <c r="J117" s="209">
        <f>194.467-0.3</f>
        <v>194.167</v>
      </c>
      <c r="K117" s="209">
        <v>112.518</v>
      </c>
      <c r="L117" s="212"/>
      <c r="M117" s="207">
        <f t="shared" si="16"/>
        <v>40.11</v>
      </c>
      <c r="N117" s="209">
        <v>40.11</v>
      </c>
      <c r="O117" s="209">
        <v>13.82</v>
      </c>
      <c r="P117" s="214"/>
      <c r="Q117" s="196"/>
      <c r="R117" s="203"/>
      <c r="S117" s="203"/>
      <c r="T117" s="216"/>
      <c r="U117" s="211">
        <f t="shared" si="12"/>
        <v>2.4</v>
      </c>
      <c r="V117" s="209">
        <v>2.4</v>
      </c>
      <c r="W117" s="209"/>
      <c r="X117" s="212"/>
    </row>
    <row r="118" spans="3:24" ht="12.75">
      <c r="C118" s="219">
        <f t="shared" si="13"/>
        <v>108</v>
      </c>
      <c r="D118" s="206" t="s">
        <v>432</v>
      </c>
      <c r="E118" s="207">
        <f t="shared" si="14"/>
        <v>225.59300000000002</v>
      </c>
      <c r="F118" s="228">
        <f t="shared" si="14"/>
        <v>225.59300000000002</v>
      </c>
      <c r="G118" s="209">
        <f t="shared" si="14"/>
        <v>129.824</v>
      </c>
      <c r="H118" s="210"/>
      <c r="I118" s="211">
        <f t="shared" si="15"/>
        <v>186.419</v>
      </c>
      <c r="J118" s="209">
        <v>186.419</v>
      </c>
      <c r="K118" s="209">
        <v>116.554</v>
      </c>
      <c r="L118" s="212"/>
      <c r="M118" s="207">
        <f t="shared" si="16"/>
        <v>36.674</v>
      </c>
      <c r="N118" s="209">
        <v>36.674</v>
      </c>
      <c r="O118" s="209">
        <v>13.27</v>
      </c>
      <c r="P118" s="214"/>
      <c r="Q118" s="211"/>
      <c r="R118" s="209"/>
      <c r="S118" s="209"/>
      <c r="T118" s="216"/>
      <c r="U118" s="211">
        <f t="shared" si="12"/>
        <v>2.5</v>
      </c>
      <c r="V118" s="209">
        <v>2.5</v>
      </c>
      <c r="W118" s="209"/>
      <c r="X118" s="212"/>
    </row>
    <row r="119" spans="3:24" ht="12.75">
      <c r="C119" s="219">
        <f t="shared" si="13"/>
        <v>109</v>
      </c>
      <c r="D119" s="206" t="s">
        <v>123</v>
      </c>
      <c r="E119" s="207">
        <f t="shared" si="14"/>
        <v>100.619</v>
      </c>
      <c r="F119" s="228">
        <f t="shared" si="14"/>
        <v>100.619</v>
      </c>
      <c r="G119" s="209">
        <f t="shared" si="14"/>
        <v>59.907000000000004</v>
      </c>
      <c r="H119" s="210"/>
      <c r="I119" s="211">
        <f t="shared" si="15"/>
        <v>74.965</v>
      </c>
      <c r="J119" s="209">
        <f>75.065-0.1</f>
        <v>74.965</v>
      </c>
      <c r="K119" s="209">
        <f>47.877-0.1</f>
        <v>47.777</v>
      </c>
      <c r="L119" s="212"/>
      <c r="M119" s="207">
        <f t="shared" si="16"/>
        <v>25.354</v>
      </c>
      <c r="N119" s="209">
        <v>25.354</v>
      </c>
      <c r="O119" s="209">
        <v>12.13</v>
      </c>
      <c r="P119" s="214"/>
      <c r="Q119" s="211"/>
      <c r="R119" s="209"/>
      <c r="S119" s="209"/>
      <c r="T119" s="216"/>
      <c r="U119" s="211">
        <f t="shared" si="12"/>
        <v>0.3</v>
      </c>
      <c r="V119" s="218">
        <v>0.3</v>
      </c>
      <c r="W119" s="209"/>
      <c r="X119" s="212"/>
    </row>
    <row r="120" spans="3:24" ht="12.75">
      <c r="C120" s="219">
        <f t="shared" si="13"/>
        <v>110</v>
      </c>
      <c r="D120" s="206" t="s">
        <v>180</v>
      </c>
      <c r="E120" s="207">
        <f t="shared" si="14"/>
        <v>210.37</v>
      </c>
      <c r="F120" s="228">
        <f t="shared" si="14"/>
        <v>210.37</v>
      </c>
      <c r="G120" s="209">
        <f t="shared" si="14"/>
        <v>98.184</v>
      </c>
      <c r="H120" s="210"/>
      <c r="I120" s="211">
        <f t="shared" si="15"/>
        <v>159.806</v>
      </c>
      <c r="J120" s="209">
        <f>167.406-7.6</f>
        <v>159.806</v>
      </c>
      <c r="K120" s="209">
        <f>84.394-0.2</f>
        <v>84.194</v>
      </c>
      <c r="L120" s="212"/>
      <c r="M120" s="207">
        <f t="shared" si="16"/>
        <v>48.564</v>
      </c>
      <c r="N120" s="209">
        <v>48.564</v>
      </c>
      <c r="O120" s="209">
        <v>13.99</v>
      </c>
      <c r="P120" s="214"/>
      <c r="Q120" s="196"/>
      <c r="R120" s="203"/>
      <c r="S120" s="203"/>
      <c r="T120" s="216"/>
      <c r="U120" s="211">
        <f t="shared" si="12"/>
        <v>2</v>
      </c>
      <c r="V120" s="209">
        <v>2</v>
      </c>
      <c r="W120" s="209"/>
      <c r="X120" s="212"/>
    </row>
    <row r="121" spans="3:24" ht="12.75">
      <c r="C121" s="260">
        <f t="shared" si="13"/>
        <v>111</v>
      </c>
      <c r="D121" s="259" t="s">
        <v>125</v>
      </c>
      <c r="E121" s="261">
        <f t="shared" si="14"/>
        <v>510.87100000000004</v>
      </c>
      <c r="F121" s="262">
        <f t="shared" si="14"/>
        <v>505.87100000000004</v>
      </c>
      <c r="G121" s="263">
        <f t="shared" si="14"/>
        <v>81.609</v>
      </c>
      <c r="H121" s="264">
        <f t="shared" si="14"/>
        <v>5</v>
      </c>
      <c r="I121" s="265">
        <f t="shared" si="15"/>
        <v>320.93100000000004</v>
      </c>
      <c r="J121" s="263">
        <f>330.831-9.9</f>
        <v>320.93100000000004</v>
      </c>
      <c r="K121" s="263">
        <v>56.953</v>
      </c>
      <c r="L121" s="266"/>
      <c r="M121" s="261">
        <f t="shared" si="16"/>
        <v>87.64</v>
      </c>
      <c r="N121" s="263">
        <v>87.64</v>
      </c>
      <c r="O121" s="263">
        <v>17.3</v>
      </c>
      <c r="P121" s="267"/>
      <c r="Q121" s="268"/>
      <c r="R121" s="269"/>
      <c r="S121" s="269"/>
      <c r="T121" s="270"/>
      <c r="U121" s="265">
        <f t="shared" si="12"/>
        <v>102.3</v>
      </c>
      <c r="V121" s="263">
        <v>97.3</v>
      </c>
      <c r="W121" s="263">
        <v>7.356</v>
      </c>
      <c r="X121" s="266">
        <v>5</v>
      </c>
    </row>
    <row r="122" spans="3:24" ht="12.75" hidden="1">
      <c r="C122" s="271">
        <v>111</v>
      </c>
      <c r="D122" s="172" t="s">
        <v>433</v>
      </c>
      <c r="E122" s="272">
        <f t="shared" si="14"/>
        <v>14031.853000000003</v>
      </c>
      <c r="F122" s="273">
        <f>J122+N122+R122+V122</f>
        <v>11624.753000000002</v>
      </c>
      <c r="G122" s="274">
        <f t="shared" si="14"/>
        <v>4286.871</v>
      </c>
      <c r="H122" s="275">
        <f>L122++P122+T122+X122</f>
        <v>2407.1</v>
      </c>
      <c r="I122" s="276">
        <f t="shared" si="15"/>
        <v>8875.888000000003</v>
      </c>
      <c r="J122" s="273">
        <f>J11+J14+J19+J20+J38+J40+J51+J57+J67+J71+J77+J79+J82+J95+J96+J99+J102+J103+J108+J109+SUM(J111:J121)-J93-J94</f>
        <v>8753.188000000002</v>
      </c>
      <c r="K122" s="273">
        <f>K11+K14+K19+K20+K38+K40+K51+K57+K67+K71+K77+K79+K95+K96+K99+K102+K103+K108+K109+SUM(K111:K121)</f>
        <v>3106.3900000000003</v>
      </c>
      <c r="L122" s="277">
        <f>L11+L14+L19+L20+L38+L40+L51+L57+L67+L71+L77+L79+L82+L95+L96+L99+L102+L103+L108+L109+SUM(L111:L121)</f>
        <v>122.7</v>
      </c>
      <c r="M122" s="278">
        <f>M11+M14+M19+M20+M38+M40+M51+M57+M67+M71+M77+M79+M95+M96+M99+M102+M103+M108+M109+SUM(M111:M121)</f>
        <v>4651.269</v>
      </c>
      <c r="N122" s="273">
        <f>N11+N14+N19+N20+N38+N40+N51+N57+N67+N71+N77+N79+N95+N96+N99+N102+N103+N108+N109+SUM(N111:N121)</f>
        <v>2397.2690000000002</v>
      </c>
      <c r="O122" s="273">
        <f>O11+O14+O19+O20+O38+O40+O51+O57+O67+O71+O77+O79+O95+O96+O99+O102+O103+O108+O109+SUM(O111:O121)</f>
        <v>1039.839</v>
      </c>
      <c r="P122" s="279">
        <f>P11+P14+P19+P20+P38+P40+P51+P57+P67+P71+P77+P79+P82+P95+P96+P99+P102+P103+P108+P109+SUM(P111:P121)</f>
        <v>2254</v>
      </c>
      <c r="Q122" s="276">
        <f aca="true" t="shared" si="17" ref="Q122:X122">Q14+Q19+Q20+Q38+Q40+Q51+Q57+Q67+Q71+Q77+Q79+Q82+Q95+Q96+Q99+Q102+Q103+Q108+SUM(Q111:Q121)+Q109</f>
        <v>27.064</v>
      </c>
      <c r="R122" s="272">
        <f t="shared" si="17"/>
        <v>27.064</v>
      </c>
      <c r="S122" s="272">
        <f t="shared" si="17"/>
        <v>20.662</v>
      </c>
      <c r="T122" s="280"/>
      <c r="U122" s="276">
        <f t="shared" si="17"/>
        <v>477.632</v>
      </c>
      <c r="V122" s="272">
        <f t="shared" si="17"/>
        <v>447.23199999999997</v>
      </c>
      <c r="W122" s="272">
        <f t="shared" si="17"/>
        <v>119.97999999999999</v>
      </c>
      <c r="X122" s="280">
        <f t="shared" si="17"/>
        <v>30.4</v>
      </c>
    </row>
    <row r="123" spans="3:24" ht="12.75">
      <c r="C123" s="219">
        <v>112</v>
      </c>
      <c r="D123" s="206" t="s">
        <v>181</v>
      </c>
      <c r="E123" s="207">
        <f aca="true" t="shared" si="18" ref="E123:G128">+I123+M123+Q123+U123</f>
        <v>327.233</v>
      </c>
      <c r="F123" s="228">
        <f t="shared" si="18"/>
        <v>327.233</v>
      </c>
      <c r="G123" s="209">
        <f t="shared" si="18"/>
        <v>217.731</v>
      </c>
      <c r="H123" s="210"/>
      <c r="I123" s="211">
        <f aca="true" t="shared" si="19" ref="I123:I128">+J123</f>
        <v>204.7</v>
      </c>
      <c r="J123" s="209">
        <v>204.7</v>
      </c>
      <c r="K123" s="218">
        <v>142.674</v>
      </c>
      <c r="L123" s="216"/>
      <c r="M123" s="207"/>
      <c r="N123" s="209"/>
      <c r="O123" s="209"/>
      <c r="P123" s="214"/>
      <c r="Q123" s="211">
        <f aca="true" t="shared" si="20" ref="Q123:Q156">+R123</f>
        <v>102.333</v>
      </c>
      <c r="R123" s="209">
        <v>102.333</v>
      </c>
      <c r="S123" s="209">
        <v>75.057</v>
      </c>
      <c r="T123" s="212"/>
      <c r="U123" s="211">
        <f aca="true" t="shared" si="21" ref="U123:U150">+V123</f>
        <v>20.2</v>
      </c>
      <c r="V123" s="209">
        <v>20.2</v>
      </c>
      <c r="W123" s="209"/>
      <c r="X123" s="212"/>
    </row>
    <row r="124" spans="3:24" ht="12.75">
      <c r="C124" s="219">
        <f t="shared" si="13"/>
        <v>113</v>
      </c>
      <c r="D124" s="206" t="s">
        <v>182</v>
      </c>
      <c r="E124" s="207">
        <f t="shared" si="18"/>
        <v>568.135</v>
      </c>
      <c r="F124" s="228">
        <f t="shared" si="18"/>
        <v>568.135</v>
      </c>
      <c r="G124" s="209">
        <f t="shared" si="18"/>
        <v>364.2</v>
      </c>
      <c r="H124" s="210"/>
      <c r="I124" s="211">
        <f t="shared" si="19"/>
        <v>367.635</v>
      </c>
      <c r="J124" s="209">
        <v>367.635</v>
      </c>
      <c r="K124" s="218">
        <v>248.295</v>
      </c>
      <c r="L124" s="216"/>
      <c r="M124" s="261"/>
      <c r="N124" s="209"/>
      <c r="O124" s="209"/>
      <c r="P124" s="214"/>
      <c r="Q124" s="211">
        <f t="shared" si="20"/>
        <v>157.9</v>
      </c>
      <c r="R124" s="209">
        <v>157.9</v>
      </c>
      <c r="S124" s="209">
        <v>115.905</v>
      </c>
      <c r="T124" s="212"/>
      <c r="U124" s="211">
        <f t="shared" si="21"/>
        <v>42.6</v>
      </c>
      <c r="V124" s="209">
        <v>42.6</v>
      </c>
      <c r="W124" s="209"/>
      <c r="X124" s="212"/>
    </row>
    <row r="125" spans="3:24" ht="12.75">
      <c r="C125" s="219">
        <f t="shared" si="13"/>
        <v>114</v>
      </c>
      <c r="D125" s="206" t="s">
        <v>128</v>
      </c>
      <c r="E125" s="207">
        <f t="shared" si="18"/>
        <v>227.10999999999999</v>
      </c>
      <c r="F125" s="228">
        <f t="shared" si="18"/>
        <v>227.10999999999999</v>
      </c>
      <c r="G125" s="209">
        <f t="shared" si="18"/>
        <v>139.152</v>
      </c>
      <c r="H125" s="210"/>
      <c r="I125" s="211">
        <f>+J125+L125</f>
        <v>139.953</v>
      </c>
      <c r="J125" s="209">
        <v>139.953</v>
      </c>
      <c r="K125" s="218">
        <v>83.783</v>
      </c>
      <c r="L125" s="212"/>
      <c r="M125" s="261"/>
      <c r="N125" s="209"/>
      <c r="O125" s="209"/>
      <c r="P125" s="214"/>
      <c r="Q125" s="211">
        <f t="shared" si="20"/>
        <v>75.283</v>
      </c>
      <c r="R125" s="209">
        <v>75.283</v>
      </c>
      <c r="S125" s="209">
        <v>55.369</v>
      </c>
      <c r="T125" s="212"/>
      <c r="U125" s="211">
        <f t="shared" si="21"/>
        <v>11.874</v>
      </c>
      <c r="V125" s="209">
        <v>11.874</v>
      </c>
      <c r="W125" s="209"/>
      <c r="X125" s="212"/>
    </row>
    <row r="126" spans="3:24" ht="12.75">
      <c r="C126" s="219">
        <f t="shared" si="13"/>
        <v>115</v>
      </c>
      <c r="D126" s="206" t="s">
        <v>434</v>
      </c>
      <c r="E126" s="207">
        <f t="shared" si="18"/>
        <v>458.60699999999997</v>
      </c>
      <c r="F126" s="228">
        <f t="shared" si="18"/>
        <v>458.60699999999997</v>
      </c>
      <c r="G126" s="209">
        <f t="shared" si="18"/>
        <v>287.93399999999997</v>
      </c>
      <c r="H126" s="210"/>
      <c r="I126" s="211">
        <f t="shared" si="19"/>
        <v>221.805</v>
      </c>
      <c r="J126" s="209">
        <v>221.805</v>
      </c>
      <c r="K126" s="209">
        <v>146.06</v>
      </c>
      <c r="L126" s="216"/>
      <c r="M126" s="261"/>
      <c r="N126" s="209"/>
      <c r="O126" s="209"/>
      <c r="P126" s="214"/>
      <c r="Q126" s="211">
        <f t="shared" si="20"/>
        <v>192.802</v>
      </c>
      <c r="R126" s="209">
        <v>192.802</v>
      </c>
      <c r="S126" s="209">
        <v>141.874</v>
      </c>
      <c r="T126" s="212"/>
      <c r="U126" s="211">
        <f t="shared" si="21"/>
        <v>44</v>
      </c>
      <c r="V126" s="209">
        <v>44</v>
      </c>
      <c r="W126" s="209"/>
      <c r="X126" s="212"/>
    </row>
    <row r="127" spans="3:24" ht="12.75">
      <c r="C127" s="219">
        <f t="shared" si="13"/>
        <v>116</v>
      </c>
      <c r="D127" s="206" t="s">
        <v>435</v>
      </c>
      <c r="E127" s="207">
        <f t="shared" si="18"/>
        <v>178.809</v>
      </c>
      <c r="F127" s="228">
        <f t="shared" si="18"/>
        <v>178.809</v>
      </c>
      <c r="G127" s="209">
        <f t="shared" si="18"/>
        <v>110.839</v>
      </c>
      <c r="H127" s="210"/>
      <c r="I127" s="211">
        <f t="shared" si="19"/>
        <v>117.271</v>
      </c>
      <c r="J127" s="209">
        <v>117.271</v>
      </c>
      <c r="K127" s="209">
        <v>72.712</v>
      </c>
      <c r="L127" s="216"/>
      <c r="M127" s="261"/>
      <c r="N127" s="209"/>
      <c r="O127" s="209"/>
      <c r="P127" s="214"/>
      <c r="Q127" s="211">
        <f t="shared" si="20"/>
        <v>51.838</v>
      </c>
      <c r="R127" s="209">
        <v>51.838</v>
      </c>
      <c r="S127" s="209">
        <v>38.127</v>
      </c>
      <c r="T127" s="212"/>
      <c r="U127" s="211">
        <f t="shared" si="21"/>
        <v>9.7</v>
      </c>
      <c r="V127" s="209">
        <v>9.7</v>
      </c>
      <c r="W127" s="209"/>
      <c r="X127" s="212"/>
    </row>
    <row r="128" spans="3:24" ht="12.75">
      <c r="C128" s="219">
        <f t="shared" si="13"/>
        <v>117</v>
      </c>
      <c r="D128" s="206" t="s">
        <v>436</v>
      </c>
      <c r="E128" s="207">
        <f t="shared" si="18"/>
        <v>204.38400000000001</v>
      </c>
      <c r="F128" s="228">
        <f t="shared" si="18"/>
        <v>204.38400000000001</v>
      </c>
      <c r="G128" s="209">
        <f t="shared" si="18"/>
        <v>145.26299999999998</v>
      </c>
      <c r="H128" s="210"/>
      <c r="I128" s="211">
        <f t="shared" si="19"/>
        <v>93.847</v>
      </c>
      <c r="J128" s="209">
        <v>93.847</v>
      </c>
      <c r="K128" s="209">
        <v>69.074</v>
      </c>
      <c r="L128" s="216"/>
      <c r="M128" s="261"/>
      <c r="N128" s="209"/>
      <c r="O128" s="209"/>
      <c r="P128" s="214"/>
      <c r="Q128" s="211">
        <f t="shared" si="20"/>
        <v>102.237</v>
      </c>
      <c r="R128" s="209">
        <v>102.237</v>
      </c>
      <c r="S128" s="209">
        <v>76.189</v>
      </c>
      <c r="T128" s="212"/>
      <c r="U128" s="211">
        <f t="shared" si="21"/>
        <v>8.3</v>
      </c>
      <c r="V128" s="209">
        <v>8.3</v>
      </c>
      <c r="W128" s="209"/>
      <c r="X128" s="212"/>
    </row>
    <row r="129" spans="3:24" ht="12.75">
      <c r="C129" s="219">
        <f t="shared" si="13"/>
        <v>118</v>
      </c>
      <c r="D129" s="206" t="s">
        <v>437</v>
      </c>
      <c r="E129" s="207">
        <f aca="true" t="shared" si="22" ref="E129:G130">I129+M129+Q129+U129</f>
        <v>101.31</v>
      </c>
      <c r="F129" s="228">
        <f t="shared" si="22"/>
        <v>101.31</v>
      </c>
      <c r="G129" s="209">
        <f t="shared" si="22"/>
        <v>74.486</v>
      </c>
      <c r="H129" s="210"/>
      <c r="I129" s="211">
        <f>J129+L129</f>
        <v>10.663</v>
      </c>
      <c r="J129" s="209">
        <v>10.663</v>
      </c>
      <c r="K129" s="209">
        <v>7.512</v>
      </c>
      <c r="L129" s="216"/>
      <c r="M129" s="261"/>
      <c r="N129" s="209"/>
      <c r="O129" s="209"/>
      <c r="P129" s="214"/>
      <c r="Q129" s="211">
        <f>+R129+T129</f>
        <v>90.647</v>
      </c>
      <c r="R129" s="209">
        <v>90.647</v>
      </c>
      <c r="S129" s="209">
        <v>66.974</v>
      </c>
      <c r="T129" s="212"/>
      <c r="U129" s="211"/>
      <c r="V129" s="209"/>
      <c r="W129" s="209"/>
      <c r="X129" s="212"/>
    </row>
    <row r="130" spans="3:24" ht="12.75">
      <c r="C130" s="219">
        <f t="shared" si="13"/>
        <v>119</v>
      </c>
      <c r="D130" s="281" t="s">
        <v>438</v>
      </c>
      <c r="E130" s="207">
        <f t="shared" si="22"/>
        <v>74.53299999999999</v>
      </c>
      <c r="F130" s="228">
        <f t="shared" si="22"/>
        <v>74.53299999999999</v>
      </c>
      <c r="G130" s="209">
        <f t="shared" si="22"/>
        <v>53.986</v>
      </c>
      <c r="H130" s="210"/>
      <c r="I130" s="211">
        <f>J130+L130</f>
        <v>37.047</v>
      </c>
      <c r="J130" s="209">
        <v>37.047</v>
      </c>
      <c r="K130" s="209">
        <v>26.031</v>
      </c>
      <c r="L130" s="212"/>
      <c r="M130" s="261"/>
      <c r="N130" s="209"/>
      <c r="O130" s="209"/>
      <c r="P130" s="210"/>
      <c r="Q130" s="211">
        <f t="shared" si="20"/>
        <v>37.486</v>
      </c>
      <c r="R130" s="209">
        <v>37.486</v>
      </c>
      <c r="S130" s="209">
        <v>27.955</v>
      </c>
      <c r="T130" s="212"/>
      <c r="U130" s="211"/>
      <c r="V130" s="209"/>
      <c r="W130" s="209"/>
      <c r="X130" s="212"/>
    </row>
    <row r="131" spans="3:24" ht="12.75">
      <c r="C131" s="219">
        <v>120</v>
      </c>
      <c r="D131" s="206" t="s">
        <v>302</v>
      </c>
      <c r="E131" s="207">
        <f aca="true" t="shared" si="23" ref="E131:H141">+I131+M131+Q131+U131</f>
        <v>571.534</v>
      </c>
      <c r="F131" s="228">
        <f t="shared" si="23"/>
        <v>571.534</v>
      </c>
      <c r="G131" s="209">
        <f t="shared" si="23"/>
        <v>366.15700000000004</v>
      </c>
      <c r="H131" s="210"/>
      <c r="I131" s="211">
        <f>+J131+L131</f>
        <v>354.248</v>
      </c>
      <c r="J131" s="209">
        <v>354.248</v>
      </c>
      <c r="K131" s="209">
        <v>240.467</v>
      </c>
      <c r="L131" s="212"/>
      <c r="M131" s="261"/>
      <c r="N131" s="209"/>
      <c r="O131" s="209"/>
      <c r="P131" s="214"/>
      <c r="Q131" s="211">
        <f t="shared" si="20"/>
        <v>171.436</v>
      </c>
      <c r="R131" s="209">
        <v>171.436</v>
      </c>
      <c r="S131" s="209">
        <v>125.69</v>
      </c>
      <c r="T131" s="212"/>
      <c r="U131" s="211">
        <f t="shared" si="21"/>
        <v>45.85</v>
      </c>
      <c r="V131" s="209">
        <v>45.85</v>
      </c>
      <c r="W131" s="209"/>
      <c r="X131" s="212"/>
    </row>
    <row r="132" spans="3:24" ht="12.75">
      <c r="C132" s="219">
        <f t="shared" si="13"/>
        <v>121</v>
      </c>
      <c r="D132" s="206" t="s">
        <v>134</v>
      </c>
      <c r="E132" s="207">
        <f t="shared" si="23"/>
        <v>574.083</v>
      </c>
      <c r="F132" s="228">
        <f t="shared" si="23"/>
        <v>574.083</v>
      </c>
      <c r="G132" s="209">
        <f t="shared" si="23"/>
        <v>397.796</v>
      </c>
      <c r="H132" s="210"/>
      <c r="I132" s="211">
        <f aca="true" t="shared" si="24" ref="I132:I140">+J132</f>
        <v>160.147</v>
      </c>
      <c r="J132" s="209">
        <v>160.147</v>
      </c>
      <c r="K132" s="209">
        <v>102.907</v>
      </c>
      <c r="L132" s="212"/>
      <c r="M132" s="261"/>
      <c r="N132" s="209"/>
      <c r="O132" s="209"/>
      <c r="P132" s="210"/>
      <c r="Q132" s="211">
        <f t="shared" si="20"/>
        <v>398.136</v>
      </c>
      <c r="R132" s="209">
        <v>398.136</v>
      </c>
      <c r="S132" s="209">
        <v>294.889</v>
      </c>
      <c r="T132" s="212"/>
      <c r="U132" s="211">
        <f>V132+X132</f>
        <v>15.8</v>
      </c>
      <c r="V132" s="209">
        <v>15.8</v>
      </c>
      <c r="W132" s="209"/>
      <c r="X132" s="212"/>
    </row>
    <row r="133" spans="3:24" ht="12.75">
      <c r="C133" s="219">
        <f t="shared" si="13"/>
        <v>122</v>
      </c>
      <c r="D133" s="206" t="s">
        <v>439</v>
      </c>
      <c r="E133" s="207">
        <f t="shared" si="23"/>
        <v>109.426</v>
      </c>
      <c r="F133" s="228">
        <f t="shared" si="23"/>
        <v>109.426</v>
      </c>
      <c r="G133" s="209">
        <f t="shared" si="23"/>
        <v>75.545</v>
      </c>
      <c r="H133" s="210"/>
      <c r="I133" s="211">
        <f t="shared" si="24"/>
        <v>41.088</v>
      </c>
      <c r="J133" s="209">
        <v>41.088</v>
      </c>
      <c r="K133" s="209">
        <v>29.924</v>
      </c>
      <c r="L133" s="216"/>
      <c r="M133" s="261"/>
      <c r="N133" s="209"/>
      <c r="O133" s="209"/>
      <c r="P133" s="214"/>
      <c r="Q133" s="211">
        <f t="shared" si="20"/>
        <v>61.338</v>
      </c>
      <c r="R133" s="209">
        <v>61.338</v>
      </c>
      <c r="S133" s="209">
        <v>45.621</v>
      </c>
      <c r="T133" s="212"/>
      <c r="U133" s="211">
        <f t="shared" si="21"/>
        <v>7</v>
      </c>
      <c r="V133" s="209">
        <v>7</v>
      </c>
      <c r="W133" s="209"/>
      <c r="X133" s="212"/>
    </row>
    <row r="134" spans="3:24" ht="12.75">
      <c r="C134" s="219">
        <v>123</v>
      </c>
      <c r="D134" s="206" t="s">
        <v>183</v>
      </c>
      <c r="E134" s="207">
        <f t="shared" si="23"/>
        <v>248.353</v>
      </c>
      <c r="F134" s="228">
        <f t="shared" si="23"/>
        <v>248.353</v>
      </c>
      <c r="G134" s="209">
        <f t="shared" si="23"/>
        <v>167.091</v>
      </c>
      <c r="H134" s="210"/>
      <c r="I134" s="211">
        <f t="shared" si="24"/>
        <v>136.232</v>
      </c>
      <c r="J134" s="209">
        <v>136.232</v>
      </c>
      <c r="K134" s="209">
        <v>88.336</v>
      </c>
      <c r="L134" s="216"/>
      <c r="M134" s="261"/>
      <c r="N134" s="209"/>
      <c r="O134" s="209"/>
      <c r="P134" s="214"/>
      <c r="Q134" s="211">
        <f t="shared" si="20"/>
        <v>105.221</v>
      </c>
      <c r="R134" s="209">
        <v>105.221</v>
      </c>
      <c r="S134" s="209">
        <v>78.755</v>
      </c>
      <c r="T134" s="212"/>
      <c r="U134" s="211">
        <f t="shared" si="21"/>
        <v>6.9</v>
      </c>
      <c r="V134" s="209">
        <v>6.9</v>
      </c>
      <c r="W134" s="209"/>
      <c r="X134" s="212"/>
    </row>
    <row r="135" spans="3:24" ht="12.75">
      <c r="C135" s="219">
        <f t="shared" si="13"/>
        <v>124</v>
      </c>
      <c r="D135" s="206" t="s">
        <v>303</v>
      </c>
      <c r="E135" s="207">
        <f t="shared" si="23"/>
        <v>266.259</v>
      </c>
      <c r="F135" s="228">
        <f t="shared" si="23"/>
        <v>266.259</v>
      </c>
      <c r="G135" s="209">
        <f t="shared" si="23"/>
        <v>194.788</v>
      </c>
      <c r="H135" s="210"/>
      <c r="I135" s="211">
        <f t="shared" si="24"/>
        <v>29.491</v>
      </c>
      <c r="J135" s="209">
        <v>29.491</v>
      </c>
      <c r="K135" s="209">
        <v>19.835</v>
      </c>
      <c r="L135" s="216"/>
      <c r="M135" s="261"/>
      <c r="N135" s="209"/>
      <c r="O135" s="209"/>
      <c r="P135" s="214"/>
      <c r="Q135" s="211">
        <f t="shared" si="20"/>
        <v>232.768</v>
      </c>
      <c r="R135" s="209">
        <v>232.768</v>
      </c>
      <c r="S135" s="209">
        <v>172.953</v>
      </c>
      <c r="T135" s="212"/>
      <c r="U135" s="211">
        <f t="shared" si="21"/>
        <v>4</v>
      </c>
      <c r="V135" s="209">
        <v>4</v>
      </c>
      <c r="W135" s="209">
        <v>2</v>
      </c>
      <c r="X135" s="212"/>
    </row>
    <row r="136" spans="3:24" ht="12.75">
      <c r="C136" s="219">
        <v>125</v>
      </c>
      <c r="D136" s="282" t="s">
        <v>440</v>
      </c>
      <c r="E136" s="207">
        <f t="shared" si="23"/>
        <v>7.896</v>
      </c>
      <c r="F136" s="228">
        <f t="shared" si="23"/>
        <v>7.896</v>
      </c>
      <c r="G136" s="209">
        <f t="shared" si="23"/>
        <v>5.372</v>
      </c>
      <c r="H136" s="210"/>
      <c r="I136" s="211"/>
      <c r="J136" s="209"/>
      <c r="K136" s="209"/>
      <c r="L136" s="216"/>
      <c r="M136" s="261">
        <f>N136+P136</f>
        <v>0.5</v>
      </c>
      <c r="N136" s="209">
        <v>0.5</v>
      </c>
      <c r="O136" s="209"/>
      <c r="P136" s="214"/>
      <c r="Q136" s="211">
        <f t="shared" si="20"/>
        <v>7.396</v>
      </c>
      <c r="R136" s="209">
        <v>7.396</v>
      </c>
      <c r="S136" s="209">
        <v>5.372</v>
      </c>
      <c r="T136" s="212"/>
      <c r="U136" s="211"/>
      <c r="V136" s="209"/>
      <c r="W136" s="209"/>
      <c r="X136" s="283"/>
    </row>
    <row r="137" spans="3:24" ht="12.75">
      <c r="C137" s="219">
        <v>126</v>
      </c>
      <c r="D137" s="206" t="s">
        <v>441</v>
      </c>
      <c r="E137" s="207">
        <f t="shared" si="23"/>
        <v>357.411</v>
      </c>
      <c r="F137" s="228">
        <f t="shared" si="23"/>
        <v>357.411</v>
      </c>
      <c r="G137" s="209">
        <f t="shared" si="23"/>
        <v>238.961</v>
      </c>
      <c r="H137" s="210"/>
      <c r="I137" s="211">
        <f t="shared" si="24"/>
        <v>160.75</v>
      </c>
      <c r="J137" s="209">
        <v>160.75</v>
      </c>
      <c r="K137" s="209">
        <v>102.455</v>
      </c>
      <c r="L137" s="216"/>
      <c r="M137" s="261"/>
      <c r="N137" s="209"/>
      <c r="O137" s="209"/>
      <c r="P137" s="214"/>
      <c r="Q137" s="211">
        <f t="shared" si="20"/>
        <v>181.961</v>
      </c>
      <c r="R137" s="209">
        <v>181.961</v>
      </c>
      <c r="S137" s="209">
        <v>136.506</v>
      </c>
      <c r="T137" s="212"/>
      <c r="U137" s="211">
        <f t="shared" si="21"/>
        <v>14.7</v>
      </c>
      <c r="V137" s="209">
        <v>14.7</v>
      </c>
      <c r="W137" s="209"/>
      <c r="X137" s="212"/>
    </row>
    <row r="138" spans="3:24" ht="12.75">
      <c r="C138" s="219">
        <v>127</v>
      </c>
      <c r="D138" s="206" t="s">
        <v>141</v>
      </c>
      <c r="E138" s="207">
        <f t="shared" si="23"/>
        <v>1708.5549999999998</v>
      </c>
      <c r="F138" s="228">
        <f t="shared" si="23"/>
        <v>1707.5549999999998</v>
      </c>
      <c r="G138" s="209">
        <f t="shared" si="23"/>
        <v>1121.694</v>
      </c>
      <c r="H138" s="210">
        <f t="shared" si="23"/>
        <v>1</v>
      </c>
      <c r="I138" s="211">
        <f t="shared" si="24"/>
        <v>561.274</v>
      </c>
      <c r="J138" s="209">
        <v>561.274</v>
      </c>
      <c r="K138" s="209">
        <v>322.564</v>
      </c>
      <c r="L138" s="216"/>
      <c r="M138" s="261"/>
      <c r="N138" s="209"/>
      <c r="O138" s="209"/>
      <c r="P138" s="214"/>
      <c r="Q138" s="211">
        <f>R138+T138</f>
        <v>1072.281</v>
      </c>
      <c r="R138" s="209">
        <v>1072.281</v>
      </c>
      <c r="S138" s="209">
        <v>799.13</v>
      </c>
      <c r="T138" s="212"/>
      <c r="U138" s="211">
        <f>+V138+X138</f>
        <v>75</v>
      </c>
      <c r="V138" s="209">
        <v>74</v>
      </c>
      <c r="W138" s="209"/>
      <c r="X138" s="212">
        <v>1</v>
      </c>
    </row>
    <row r="139" spans="3:24" ht="12.75">
      <c r="C139" s="219">
        <f t="shared" si="13"/>
        <v>128</v>
      </c>
      <c r="D139" s="206" t="s">
        <v>442</v>
      </c>
      <c r="E139" s="207">
        <f t="shared" si="23"/>
        <v>94.43</v>
      </c>
      <c r="F139" s="228">
        <f t="shared" si="23"/>
        <v>93.43</v>
      </c>
      <c r="G139" s="209">
        <f t="shared" si="23"/>
        <v>51.949</v>
      </c>
      <c r="H139" s="210">
        <f t="shared" si="23"/>
        <v>1</v>
      </c>
      <c r="I139" s="211">
        <f t="shared" si="24"/>
        <v>84.43</v>
      </c>
      <c r="J139" s="209">
        <v>84.43</v>
      </c>
      <c r="K139" s="209">
        <v>51.949</v>
      </c>
      <c r="L139" s="212"/>
      <c r="M139" s="261"/>
      <c r="N139" s="209"/>
      <c r="O139" s="209"/>
      <c r="P139" s="210"/>
      <c r="Q139" s="211"/>
      <c r="R139" s="209"/>
      <c r="S139" s="209"/>
      <c r="T139" s="212"/>
      <c r="U139" s="211">
        <f>+V139+X139</f>
        <v>10</v>
      </c>
      <c r="V139" s="209">
        <v>9</v>
      </c>
      <c r="W139" s="209"/>
      <c r="X139" s="212">
        <v>1</v>
      </c>
    </row>
    <row r="140" spans="3:24" ht="12.75">
      <c r="C140" s="219">
        <v>129</v>
      </c>
      <c r="D140" s="206" t="s">
        <v>443</v>
      </c>
      <c r="E140" s="207">
        <f t="shared" si="23"/>
        <v>1163.891</v>
      </c>
      <c r="F140" s="228">
        <f t="shared" si="23"/>
        <v>1163.891</v>
      </c>
      <c r="G140" s="209">
        <f t="shared" si="23"/>
        <v>795.4770000000001</v>
      </c>
      <c r="H140" s="210"/>
      <c r="I140" s="211">
        <f t="shared" si="24"/>
        <v>278.958</v>
      </c>
      <c r="J140" s="209">
        <v>278.958</v>
      </c>
      <c r="K140" s="209">
        <v>167.926</v>
      </c>
      <c r="L140" s="216"/>
      <c r="M140" s="261"/>
      <c r="N140" s="209"/>
      <c r="O140" s="209"/>
      <c r="P140" s="214"/>
      <c r="Q140" s="211">
        <f>R140+T140</f>
        <v>846.933</v>
      </c>
      <c r="R140" s="209">
        <v>846.933</v>
      </c>
      <c r="S140" s="209">
        <v>627.551</v>
      </c>
      <c r="T140" s="212"/>
      <c r="U140" s="211">
        <f t="shared" si="21"/>
        <v>38</v>
      </c>
      <c r="V140" s="209">
        <v>38</v>
      </c>
      <c r="W140" s="209"/>
      <c r="X140" s="212"/>
    </row>
    <row r="141" spans="3:24" ht="12.75">
      <c r="C141" s="219">
        <f t="shared" si="13"/>
        <v>130</v>
      </c>
      <c r="D141" s="206" t="s">
        <v>147</v>
      </c>
      <c r="E141" s="207">
        <f t="shared" si="23"/>
        <v>730.653</v>
      </c>
      <c r="F141" s="228">
        <f t="shared" si="23"/>
        <v>729.653</v>
      </c>
      <c r="G141" s="209">
        <f t="shared" si="23"/>
        <v>477.73299999999995</v>
      </c>
      <c r="H141" s="210"/>
      <c r="I141" s="211">
        <f>+J141+L141</f>
        <v>251.343</v>
      </c>
      <c r="J141" s="209">
        <v>250.343</v>
      </c>
      <c r="K141" s="209">
        <v>131.506</v>
      </c>
      <c r="L141" s="212">
        <v>1</v>
      </c>
      <c r="M141" s="261"/>
      <c r="N141" s="209"/>
      <c r="O141" s="209"/>
      <c r="P141" s="214"/>
      <c r="Q141" s="211">
        <f t="shared" si="20"/>
        <v>464.31</v>
      </c>
      <c r="R141" s="209">
        <v>464.31</v>
      </c>
      <c r="S141" s="209">
        <v>346.227</v>
      </c>
      <c r="T141" s="212"/>
      <c r="U141" s="211">
        <f>+V141+X141</f>
        <v>15</v>
      </c>
      <c r="V141" s="209">
        <v>15</v>
      </c>
      <c r="W141" s="209"/>
      <c r="X141" s="212"/>
    </row>
    <row r="142" spans="3:24" ht="12.75">
      <c r="C142" s="219">
        <f t="shared" si="13"/>
        <v>131</v>
      </c>
      <c r="D142" s="206" t="s">
        <v>444</v>
      </c>
      <c r="E142" s="207">
        <f aca="true" t="shared" si="25" ref="E142:G143">I142+M142+Q142+U142</f>
        <v>37.183</v>
      </c>
      <c r="F142" s="228">
        <f t="shared" si="25"/>
        <v>37.183</v>
      </c>
      <c r="G142" s="209">
        <f t="shared" si="25"/>
        <v>26.436</v>
      </c>
      <c r="H142" s="210"/>
      <c r="I142" s="211">
        <f>J142+L142</f>
        <v>32.683</v>
      </c>
      <c r="J142" s="209">
        <v>32.683</v>
      </c>
      <c r="K142" s="209">
        <v>24.375</v>
      </c>
      <c r="L142" s="212"/>
      <c r="M142" s="261"/>
      <c r="N142" s="209"/>
      <c r="O142" s="209"/>
      <c r="P142" s="210"/>
      <c r="Q142" s="211"/>
      <c r="R142" s="209"/>
      <c r="S142" s="209"/>
      <c r="T142" s="212"/>
      <c r="U142" s="211">
        <f t="shared" si="21"/>
        <v>4.5</v>
      </c>
      <c r="V142" s="209">
        <v>4.5</v>
      </c>
      <c r="W142" s="209">
        <v>2.061</v>
      </c>
      <c r="X142" s="212"/>
    </row>
    <row r="143" spans="3:24" ht="12.75">
      <c r="C143" s="219">
        <f t="shared" si="13"/>
        <v>132</v>
      </c>
      <c r="D143" s="206" t="s">
        <v>445</v>
      </c>
      <c r="E143" s="207">
        <f t="shared" si="25"/>
        <v>392.173</v>
      </c>
      <c r="F143" s="228">
        <f t="shared" si="25"/>
        <v>392.173</v>
      </c>
      <c r="G143" s="209">
        <f t="shared" si="25"/>
        <v>258.085</v>
      </c>
      <c r="H143" s="210"/>
      <c r="I143" s="211">
        <f>J143+L143</f>
        <v>163.284</v>
      </c>
      <c r="J143" s="209">
        <v>163.284</v>
      </c>
      <c r="K143" s="209">
        <v>100.26</v>
      </c>
      <c r="L143" s="212"/>
      <c r="M143" s="261"/>
      <c r="N143" s="209"/>
      <c r="O143" s="209"/>
      <c r="P143" s="214"/>
      <c r="Q143" s="211">
        <f t="shared" si="20"/>
        <v>210.889</v>
      </c>
      <c r="R143" s="209">
        <v>210.889</v>
      </c>
      <c r="S143" s="209">
        <v>157.825</v>
      </c>
      <c r="T143" s="212"/>
      <c r="U143" s="211">
        <f t="shared" si="21"/>
        <v>18</v>
      </c>
      <c r="V143" s="209">
        <v>18</v>
      </c>
      <c r="W143" s="209"/>
      <c r="X143" s="212"/>
    </row>
    <row r="144" spans="3:24" ht="12.75">
      <c r="C144" s="219">
        <f t="shared" si="13"/>
        <v>133</v>
      </c>
      <c r="D144" s="206" t="s">
        <v>153</v>
      </c>
      <c r="E144" s="207">
        <f aca="true" t="shared" si="26" ref="E144:G146">+I144+M144+Q144+U144</f>
        <v>600.066</v>
      </c>
      <c r="F144" s="228">
        <f t="shared" si="26"/>
        <v>600.066</v>
      </c>
      <c r="G144" s="209">
        <f t="shared" si="26"/>
        <v>389.717</v>
      </c>
      <c r="H144" s="210"/>
      <c r="I144" s="211">
        <f>+J144+L144</f>
        <v>222.298</v>
      </c>
      <c r="J144" s="209">
        <v>222.298</v>
      </c>
      <c r="K144" s="209">
        <v>117.602</v>
      </c>
      <c r="L144" s="212"/>
      <c r="M144" s="261"/>
      <c r="N144" s="209"/>
      <c r="O144" s="209"/>
      <c r="P144" s="214"/>
      <c r="Q144" s="211">
        <f t="shared" si="20"/>
        <v>364.268</v>
      </c>
      <c r="R144" s="284">
        <v>364.268</v>
      </c>
      <c r="S144" s="209">
        <v>272.115</v>
      </c>
      <c r="T144" s="212"/>
      <c r="U144" s="211">
        <f t="shared" si="21"/>
        <v>13.5</v>
      </c>
      <c r="V144" s="209">
        <v>13.5</v>
      </c>
      <c r="W144" s="209"/>
      <c r="X144" s="212"/>
    </row>
    <row r="145" spans="3:24" ht="12.75">
      <c r="C145" s="219">
        <f t="shared" si="13"/>
        <v>134</v>
      </c>
      <c r="D145" s="285" t="s">
        <v>446</v>
      </c>
      <c r="E145" s="207">
        <f t="shared" si="26"/>
        <v>151.36199999999997</v>
      </c>
      <c r="F145" s="228">
        <f t="shared" si="26"/>
        <v>151.36199999999997</v>
      </c>
      <c r="G145" s="209">
        <f t="shared" si="26"/>
        <v>86.703</v>
      </c>
      <c r="H145" s="210"/>
      <c r="I145" s="211">
        <f>+J145</f>
        <v>102.448</v>
      </c>
      <c r="J145" s="209">
        <v>102.448</v>
      </c>
      <c r="K145" s="209">
        <v>55.994</v>
      </c>
      <c r="L145" s="212"/>
      <c r="M145" s="261"/>
      <c r="N145" s="209"/>
      <c r="O145" s="209"/>
      <c r="P145" s="210"/>
      <c r="Q145" s="211">
        <f t="shared" si="20"/>
        <v>41.714</v>
      </c>
      <c r="R145" s="209">
        <v>41.714</v>
      </c>
      <c r="S145" s="209">
        <v>30.709</v>
      </c>
      <c r="T145" s="212"/>
      <c r="U145" s="211">
        <f t="shared" si="21"/>
        <v>7.2</v>
      </c>
      <c r="V145" s="209">
        <v>7.2</v>
      </c>
      <c r="W145" s="209"/>
      <c r="X145" s="212"/>
    </row>
    <row r="146" spans="3:24" ht="12.75">
      <c r="C146" s="219">
        <v>135</v>
      </c>
      <c r="D146" s="206" t="s">
        <v>447</v>
      </c>
      <c r="E146" s="207">
        <f t="shared" si="26"/>
        <v>38.275</v>
      </c>
      <c r="F146" s="228">
        <f t="shared" si="26"/>
        <v>38.275</v>
      </c>
      <c r="G146" s="209">
        <f t="shared" si="26"/>
        <v>26.437</v>
      </c>
      <c r="H146" s="210"/>
      <c r="I146" s="211">
        <f>+J146</f>
        <v>36.763</v>
      </c>
      <c r="J146" s="209">
        <v>36.763</v>
      </c>
      <c r="K146" s="209">
        <v>25.744</v>
      </c>
      <c r="L146" s="212"/>
      <c r="M146" s="261"/>
      <c r="N146" s="209"/>
      <c r="O146" s="209"/>
      <c r="P146" s="210"/>
      <c r="Q146" s="211"/>
      <c r="R146" s="209"/>
      <c r="S146" s="209"/>
      <c r="T146" s="212"/>
      <c r="U146" s="211">
        <f t="shared" si="21"/>
        <v>1.512</v>
      </c>
      <c r="V146" s="209">
        <v>1.512</v>
      </c>
      <c r="W146" s="209">
        <v>0.693</v>
      </c>
      <c r="X146" s="212"/>
    </row>
    <row r="147" spans="3:24" ht="12.75">
      <c r="C147" s="219">
        <f t="shared" si="13"/>
        <v>136</v>
      </c>
      <c r="D147" s="206" t="s">
        <v>160</v>
      </c>
      <c r="E147" s="207">
        <f aca="true" t="shared" si="27" ref="E147:G148">I147+M147+Q147+U147</f>
        <v>623.7810000000001</v>
      </c>
      <c r="F147" s="228">
        <f t="shared" si="27"/>
        <v>623.7810000000001</v>
      </c>
      <c r="G147" s="209">
        <f t="shared" si="27"/>
        <v>415.025</v>
      </c>
      <c r="H147" s="210"/>
      <c r="I147" s="211">
        <f>J147+L147</f>
        <v>189.568</v>
      </c>
      <c r="J147" s="209">
        <v>189.568</v>
      </c>
      <c r="K147" s="209">
        <v>106.769</v>
      </c>
      <c r="L147" s="212"/>
      <c r="M147" s="261"/>
      <c r="N147" s="209"/>
      <c r="O147" s="209"/>
      <c r="P147" s="214"/>
      <c r="Q147" s="211">
        <f t="shared" si="20"/>
        <v>413.213</v>
      </c>
      <c r="R147" s="209">
        <v>413.213</v>
      </c>
      <c r="S147" s="209">
        <v>308.256</v>
      </c>
      <c r="T147" s="212"/>
      <c r="U147" s="211">
        <f t="shared" si="21"/>
        <v>21</v>
      </c>
      <c r="V147" s="209">
        <v>21</v>
      </c>
      <c r="W147" s="209"/>
      <c r="X147" s="212"/>
    </row>
    <row r="148" spans="3:24" ht="12.75">
      <c r="C148" s="219">
        <f t="shared" si="13"/>
        <v>137</v>
      </c>
      <c r="D148" s="206" t="s">
        <v>448</v>
      </c>
      <c r="E148" s="207">
        <f t="shared" si="27"/>
        <v>38.628</v>
      </c>
      <c r="F148" s="228">
        <f t="shared" si="27"/>
        <v>38.628</v>
      </c>
      <c r="G148" s="209">
        <f t="shared" si="27"/>
        <v>28.717</v>
      </c>
      <c r="H148" s="210"/>
      <c r="I148" s="211">
        <f>J148+L148</f>
        <v>36.828</v>
      </c>
      <c r="J148" s="209">
        <v>36.828</v>
      </c>
      <c r="K148" s="209">
        <v>27.892</v>
      </c>
      <c r="L148" s="212"/>
      <c r="M148" s="261"/>
      <c r="N148" s="209"/>
      <c r="O148" s="209"/>
      <c r="P148" s="210"/>
      <c r="Q148" s="211"/>
      <c r="R148" s="209"/>
      <c r="S148" s="209"/>
      <c r="T148" s="212"/>
      <c r="U148" s="211">
        <f t="shared" si="21"/>
        <v>1.8</v>
      </c>
      <c r="V148" s="209">
        <v>1.8</v>
      </c>
      <c r="W148" s="209">
        <v>0.825</v>
      </c>
      <c r="X148" s="212"/>
    </row>
    <row r="149" spans="3:24" ht="12.75">
      <c r="C149" s="219">
        <f t="shared" si="13"/>
        <v>138</v>
      </c>
      <c r="D149" s="206" t="s">
        <v>449</v>
      </c>
      <c r="E149" s="207">
        <f aca="true" t="shared" si="28" ref="E149:H158">+I149+M149+Q149+U149</f>
        <v>723.491</v>
      </c>
      <c r="F149" s="228">
        <f t="shared" si="28"/>
        <v>723.491</v>
      </c>
      <c r="G149" s="209">
        <f t="shared" si="28"/>
        <v>438.28099999999995</v>
      </c>
      <c r="H149" s="210"/>
      <c r="I149" s="211">
        <f aca="true" t="shared" si="29" ref="I149:I156">+J149</f>
        <v>303.858</v>
      </c>
      <c r="J149" s="209">
        <v>303.858</v>
      </c>
      <c r="K149" s="209">
        <v>148.081</v>
      </c>
      <c r="L149" s="216"/>
      <c r="M149" s="261"/>
      <c r="N149" s="209"/>
      <c r="O149" s="209"/>
      <c r="P149" s="214"/>
      <c r="Q149" s="211">
        <f t="shared" si="20"/>
        <v>388.633</v>
      </c>
      <c r="R149" s="209">
        <v>388.633</v>
      </c>
      <c r="S149" s="209">
        <v>290.2</v>
      </c>
      <c r="T149" s="216"/>
      <c r="U149" s="211">
        <f t="shared" si="21"/>
        <v>31</v>
      </c>
      <c r="V149" s="209">
        <v>31</v>
      </c>
      <c r="W149" s="209"/>
      <c r="X149" s="212"/>
    </row>
    <row r="150" spans="3:24" ht="12.75">
      <c r="C150" s="219">
        <f t="shared" si="13"/>
        <v>139</v>
      </c>
      <c r="D150" s="206" t="s">
        <v>206</v>
      </c>
      <c r="E150" s="207">
        <f t="shared" si="28"/>
        <v>310.109</v>
      </c>
      <c r="F150" s="228">
        <f t="shared" si="28"/>
        <v>310.109</v>
      </c>
      <c r="G150" s="209">
        <f t="shared" si="28"/>
        <v>198.293</v>
      </c>
      <c r="H150" s="210"/>
      <c r="I150" s="211">
        <f>J150+L150</f>
        <v>13.225</v>
      </c>
      <c r="J150" s="209">
        <v>13.225</v>
      </c>
      <c r="K150" s="209"/>
      <c r="L150" s="212"/>
      <c r="M150" s="261">
        <f>N150+P150</f>
        <v>128.2</v>
      </c>
      <c r="N150" s="209">
        <v>128.2</v>
      </c>
      <c r="O150" s="218">
        <v>75.866</v>
      </c>
      <c r="P150" s="210"/>
      <c r="Q150" s="211">
        <f t="shared" si="20"/>
        <v>162.484</v>
      </c>
      <c r="R150" s="209">
        <v>162.484</v>
      </c>
      <c r="S150" s="209">
        <v>122.427</v>
      </c>
      <c r="T150" s="212"/>
      <c r="U150" s="211">
        <f t="shared" si="21"/>
        <v>6.2</v>
      </c>
      <c r="V150" s="209">
        <v>6.2</v>
      </c>
      <c r="W150" s="209"/>
      <c r="X150" s="212"/>
    </row>
    <row r="151" spans="3:24" ht="12.75">
      <c r="C151" s="219">
        <v>140</v>
      </c>
      <c r="D151" s="206" t="s">
        <v>450</v>
      </c>
      <c r="E151" s="207">
        <f t="shared" si="28"/>
        <v>396.76300000000003</v>
      </c>
      <c r="F151" s="228">
        <f t="shared" si="28"/>
        <v>396.76300000000003</v>
      </c>
      <c r="G151" s="209">
        <f t="shared" si="28"/>
        <v>286.935</v>
      </c>
      <c r="H151" s="210"/>
      <c r="I151" s="211">
        <f t="shared" si="29"/>
        <v>339.322</v>
      </c>
      <c r="J151" s="209">
        <v>339.322</v>
      </c>
      <c r="K151" s="209">
        <v>252.471</v>
      </c>
      <c r="L151" s="216"/>
      <c r="M151" s="261">
        <f>N151+P151</f>
        <v>2.228</v>
      </c>
      <c r="N151" s="209">
        <v>2.228</v>
      </c>
      <c r="O151" s="209">
        <v>1.701</v>
      </c>
      <c r="P151" s="214"/>
      <c r="Q151" s="211">
        <f t="shared" si="20"/>
        <v>26.713</v>
      </c>
      <c r="R151" s="209">
        <v>26.713</v>
      </c>
      <c r="S151" s="209">
        <v>20.395</v>
      </c>
      <c r="T151" s="212"/>
      <c r="U151" s="211">
        <f>+V151+X151</f>
        <v>28.5</v>
      </c>
      <c r="V151" s="209">
        <v>28.5</v>
      </c>
      <c r="W151" s="209">
        <v>12.368</v>
      </c>
      <c r="X151" s="212"/>
    </row>
    <row r="152" spans="3:24" ht="12.75">
      <c r="C152" s="219">
        <f t="shared" si="13"/>
        <v>141</v>
      </c>
      <c r="D152" s="206" t="s">
        <v>184</v>
      </c>
      <c r="E152" s="207">
        <f t="shared" si="28"/>
        <v>126.22800000000001</v>
      </c>
      <c r="F152" s="228">
        <f t="shared" si="28"/>
        <v>126.22800000000001</v>
      </c>
      <c r="G152" s="209">
        <f t="shared" si="28"/>
        <v>88.90499999999999</v>
      </c>
      <c r="H152" s="210"/>
      <c r="I152" s="211">
        <f t="shared" si="29"/>
        <v>89.661</v>
      </c>
      <c r="J152" s="209">
        <v>89.661</v>
      </c>
      <c r="K152" s="209">
        <v>68.457</v>
      </c>
      <c r="L152" s="216"/>
      <c r="M152" s="261">
        <f>N152+P152</f>
        <v>2.304</v>
      </c>
      <c r="N152" s="209">
        <v>2.304</v>
      </c>
      <c r="O152" s="209">
        <v>1.759</v>
      </c>
      <c r="P152" s="214"/>
      <c r="Q152" s="211">
        <f t="shared" si="20"/>
        <v>14.3</v>
      </c>
      <c r="R152" s="209">
        <v>14.3</v>
      </c>
      <c r="S152" s="209">
        <v>10.918</v>
      </c>
      <c r="T152" s="212"/>
      <c r="U152" s="211">
        <f>V152+X152</f>
        <v>19.963</v>
      </c>
      <c r="V152" s="209">
        <v>19.963</v>
      </c>
      <c r="W152" s="209">
        <v>7.771</v>
      </c>
      <c r="X152" s="212"/>
    </row>
    <row r="153" spans="3:24" ht="12.75">
      <c r="C153" s="219">
        <f t="shared" si="13"/>
        <v>142</v>
      </c>
      <c r="D153" s="286" t="s">
        <v>171</v>
      </c>
      <c r="E153" s="207">
        <f t="shared" si="28"/>
        <v>75.84100000000001</v>
      </c>
      <c r="F153" s="228">
        <f t="shared" si="28"/>
        <v>75.84100000000001</v>
      </c>
      <c r="G153" s="209">
        <f t="shared" si="28"/>
        <v>44.246</v>
      </c>
      <c r="H153" s="210"/>
      <c r="I153" s="211">
        <f t="shared" si="29"/>
        <v>60.841</v>
      </c>
      <c r="J153" s="209">
        <v>60.841</v>
      </c>
      <c r="K153" s="209">
        <v>44.246</v>
      </c>
      <c r="L153" s="216"/>
      <c r="M153" s="261"/>
      <c r="N153" s="209"/>
      <c r="O153" s="209"/>
      <c r="P153" s="214"/>
      <c r="Q153" s="211"/>
      <c r="R153" s="209"/>
      <c r="S153" s="209"/>
      <c r="T153" s="212"/>
      <c r="U153" s="211">
        <f>V153+X153</f>
        <v>15</v>
      </c>
      <c r="V153" s="209">
        <v>15</v>
      </c>
      <c r="W153" s="209"/>
      <c r="X153" s="212"/>
    </row>
    <row r="154" spans="3:24" ht="12.75">
      <c r="C154" s="219">
        <v>143</v>
      </c>
      <c r="D154" s="286" t="s">
        <v>173</v>
      </c>
      <c r="E154" s="207">
        <f t="shared" si="28"/>
        <v>75.574</v>
      </c>
      <c r="F154" s="228">
        <f t="shared" si="28"/>
        <v>75.574</v>
      </c>
      <c r="G154" s="209">
        <f t="shared" si="28"/>
        <v>55.507</v>
      </c>
      <c r="H154" s="210"/>
      <c r="I154" s="211">
        <f t="shared" si="29"/>
        <v>30.407</v>
      </c>
      <c r="J154" s="209">
        <v>30.407</v>
      </c>
      <c r="K154" s="209">
        <v>21.787</v>
      </c>
      <c r="L154" s="216"/>
      <c r="M154" s="261"/>
      <c r="N154" s="209"/>
      <c r="O154" s="209"/>
      <c r="P154" s="214"/>
      <c r="Q154" s="211">
        <f t="shared" si="20"/>
        <v>44.167</v>
      </c>
      <c r="R154" s="209">
        <v>44.167</v>
      </c>
      <c r="S154" s="209">
        <v>33.72</v>
      </c>
      <c r="T154" s="212"/>
      <c r="U154" s="211">
        <f>V154+X154</f>
        <v>1</v>
      </c>
      <c r="V154" s="209">
        <v>1</v>
      </c>
      <c r="W154" s="209"/>
      <c r="X154" s="212"/>
    </row>
    <row r="155" spans="3:24" ht="12.75">
      <c r="C155" s="219">
        <v>144</v>
      </c>
      <c r="D155" s="259" t="s">
        <v>451</v>
      </c>
      <c r="E155" s="207">
        <f t="shared" si="28"/>
        <v>240.997</v>
      </c>
      <c r="F155" s="228">
        <f>+J155+N155+R155+V155</f>
        <v>240.997</v>
      </c>
      <c r="G155" s="209">
        <f t="shared" si="28"/>
        <v>152.576</v>
      </c>
      <c r="H155" s="210"/>
      <c r="I155" s="265">
        <f t="shared" si="29"/>
        <v>173.794</v>
      </c>
      <c r="J155" s="263">
        <v>173.794</v>
      </c>
      <c r="K155" s="263">
        <v>111.343</v>
      </c>
      <c r="L155" s="270"/>
      <c r="M155" s="261">
        <f>N155+P155</f>
        <v>2.22</v>
      </c>
      <c r="N155" s="209">
        <v>2.22</v>
      </c>
      <c r="O155" s="209">
        <v>1.695</v>
      </c>
      <c r="P155" s="214"/>
      <c r="Q155" s="211">
        <f t="shared" si="20"/>
        <v>51.283</v>
      </c>
      <c r="R155" s="209">
        <v>51.283</v>
      </c>
      <c r="S155" s="209">
        <v>37.706</v>
      </c>
      <c r="T155" s="212"/>
      <c r="U155" s="211">
        <f>V155+X155</f>
        <v>13.7</v>
      </c>
      <c r="V155" s="209">
        <v>13.7</v>
      </c>
      <c r="W155" s="209">
        <v>1.832</v>
      </c>
      <c r="X155" s="212"/>
    </row>
    <row r="156" spans="3:24" ht="13.5" thickBot="1">
      <c r="C156" s="219">
        <v>145</v>
      </c>
      <c r="D156" s="287" t="s">
        <v>452</v>
      </c>
      <c r="E156" s="288">
        <f t="shared" si="28"/>
        <v>88.697</v>
      </c>
      <c r="F156" s="289">
        <f t="shared" si="28"/>
        <v>88.697</v>
      </c>
      <c r="G156" s="290">
        <f t="shared" si="28"/>
        <v>59.824999999999996</v>
      </c>
      <c r="H156" s="291"/>
      <c r="I156" s="292">
        <f t="shared" si="29"/>
        <v>62.301</v>
      </c>
      <c r="J156" s="290">
        <v>62.301</v>
      </c>
      <c r="K156" s="290">
        <v>42.666</v>
      </c>
      <c r="L156" s="293"/>
      <c r="M156" s="288"/>
      <c r="N156" s="290"/>
      <c r="O156" s="290"/>
      <c r="P156" s="294"/>
      <c r="Q156" s="211">
        <f t="shared" si="20"/>
        <v>23.366</v>
      </c>
      <c r="R156" s="209">
        <v>23.366</v>
      </c>
      <c r="S156" s="209">
        <v>17.159</v>
      </c>
      <c r="T156" s="212"/>
      <c r="U156" s="292">
        <f>V156+X156</f>
        <v>3.03</v>
      </c>
      <c r="V156" s="295">
        <v>3.03</v>
      </c>
      <c r="W156" s="290"/>
      <c r="X156" s="296"/>
    </row>
    <row r="157" spans="3:24" ht="13.5" hidden="1" thickBot="1">
      <c r="C157" s="297">
        <v>146</v>
      </c>
      <c r="D157" s="298" t="s">
        <v>304</v>
      </c>
      <c r="E157" s="272">
        <f t="shared" si="28"/>
        <v>12291.805000000002</v>
      </c>
      <c r="F157" s="273">
        <f t="shared" si="28"/>
        <v>12288.805000000002</v>
      </c>
      <c r="G157" s="274">
        <f t="shared" si="28"/>
        <v>8101.036999999999</v>
      </c>
      <c r="H157" s="275">
        <f t="shared" si="28"/>
        <v>3</v>
      </c>
      <c r="I157" s="299">
        <f>J157+L157</f>
        <v>5264.112000000001</v>
      </c>
      <c r="J157" s="300">
        <f>SUM(J123:J156)+J93+J94</f>
        <v>5263.112000000001</v>
      </c>
      <c r="K157" s="300">
        <f>SUM(K123:K156)+K93+K94</f>
        <v>3316.6739999999995</v>
      </c>
      <c r="L157" s="301">
        <f>SUM(L123:L156)</f>
        <v>1</v>
      </c>
      <c r="M157" s="302">
        <f>N157+P157</f>
        <v>352.464</v>
      </c>
      <c r="N157" s="300">
        <f>SUM(N123:N156)+N82</f>
        <v>352.464</v>
      </c>
      <c r="O157" s="300">
        <f>SUM(O123:O156)+O82</f>
        <v>204.577</v>
      </c>
      <c r="P157" s="303"/>
      <c r="Q157" s="299">
        <f>R157+T157</f>
        <v>6120.4000000000015</v>
      </c>
      <c r="R157" s="300">
        <f>SUM(R123:R156)+R82+R103</f>
        <v>6120.4000000000015</v>
      </c>
      <c r="S157" s="300">
        <f>SUM(S123:S156)+S82+S103</f>
        <v>4552.236</v>
      </c>
      <c r="T157" s="301"/>
      <c r="U157" s="299">
        <f>U82+SUM(U123:U156)</f>
        <v>554.829</v>
      </c>
      <c r="V157" s="300">
        <f>SUM(V123:V156)+V82</f>
        <v>552.829</v>
      </c>
      <c r="W157" s="300">
        <f>SUM(W123:W156)+W82</f>
        <v>27.55</v>
      </c>
      <c r="X157" s="304">
        <f>SUM(X123:X156)</f>
        <v>2</v>
      </c>
    </row>
    <row r="158" spans="3:24" ht="13.5" thickBot="1">
      <c r="C158" s="305">
        <v>146</v>
      </c>
      <c r="D158" s="306" t="s">
        <v>453</v>
      </c>
      <c r="E158" s="307">
        <f t="shared" si="28"/>
        <v>26296.594000000005</v>
      </c>
      <c r="F158" s="308">
        <f>+J158+N158+R158+V158</f>
        <v>23886.494000000006</v>
      </c>
      <c r="G158" s="309">
        <f t="shared" si="28"/>
        <v>12367.246000000001</v>
      </c>
      <c r="H158" s="310">
        <f t="shared" si="28"/>
        <v>2410.1</v>
      </c>
      <c r="I158" s="311">
        <f>J158+L158</f>
        <v>14140.000000000004</v>
      </c>
      <c r="J158" s="309">
        <f aca="true" t="shared" si="30" ref="J158:P158">J122+J157</f>
        <v>14016.300000000003</v>
      </c>
      <c r="K158" s="309">
        <f t="shared" si="30"/>
        <v>6423.064</v>
      </c>
      <c r="L158" s="312">
        <f t="shared" si="30"/>
        <v>123.7</v>
      </c>
      <c r="M158" s="313">
        <f t="shared" si="30"/>
        <v>5003.733</v>
      </c>
      <c r="N158" s="314">
        <f t="shared" si="30"/>
        <v>2749.733</v>
      </c>
      <c r="O158" s="314">
        <f t="shared" si="30"/>
        <v>1244.416</v>
      </c>
      <c r="P158" s="314">
        <f t="shared" si="30"/>
        <v>2254</v>
      </c>
      <c r="Q158" s="315">
        <f>Q157</f>
        <v>6120.4000000000015</v>
      </c>
      <c r="R158" s="314">
        <f>R157</f>
        <v>6120.4000000000015</v>
      </c>
      <c r="S158" s="314">
        <f>S157</f>
        <v>4552.236</v>
      </c>
      <c r="T158" s="316"/>
      <c r="U158" s="317">
        <f>U122+U157</f>
        <v>1032.461</v>
      </c>
      <c r="V158" s="314">
        <f>V122+V157</f>
        <v>1000.0609999999999</v>
      </c>
      <c r="W158" s="314">
        <f>W122+W157</f>
        <v>147.53</v>
      </c>
      <c r="X158" s="316">
        <f>X122+X157</f>
        <v>32.4</v>
      </c>
    </row>
    <row r="161" ht="12.75">
      <c r="D161" s="14" t="s">
        <v>454</v>
      </c>
    </row>
    <row r="162" ht="12.75">
      <c r="D162" s="14" t="s">
        <v>455</v>
      </c>
    </row>
    <row r="163" ht="12.75">
      <c r="D163" s="318" t="s">
        <v>456</v>
      </c>
    </row>
    <row r="164" ht="12.75">
      <c r="D164" s="14" t="s">
        <v>457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393700787401574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6"/>
  <sheetViews>
    <sheetView zoomScalePageLayoutView="0" workbookViewId="0" topLeftCell="A196">
      <selection activeCell="F199" sqref="F199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10.1406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9.42187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9.57421875" style="0" customWidth="1"/>
    <col min="20" max="20" width="8.57421875" style="0" customWidth="1"/>
    <col min="21" max="21" width="7.421875" style="0" customWidth="1"/>
    <col min="22" max="22" width="6.421875" style="0" customWidth="1"/>
  </cols>
  <sheetData>
    <row r="2" ht="12.75">
      <c r="R2" s="175" t="s">
        <v>177</v>
      </c>
    </row>
    <row r="3" spans="3:22" ht="12.75">
      <c r="C3" s="550" t="s">
        <v>331</v>
      </c>
      <c r="D3" s="550"/>
      <c r="E3" s="550"/>
      <c r="F3" s="550"/>
      <c r="G3" s="550"/>
      <c r="H3" s="550"/>
      <c r="I3" s="550"/>
      <c r="J3" s="550"/>
      <c r="P3" s="175"/>
      <c r="R3" s="122" t="s">
        <v>316</v>
      </c>
      <c r="S3" s="12"/>
      <c r="T3" s="12"/>
      <c r="U3" s="13"/>
      <c r="V3" s="13"/>
    </row>
    <row r="4" spans="2:18" ht="12.75">
      <c r="B4" s="319"/>
      <c r="C4" s="550" t="s">
        <v>458</v>
      </c>
      <c r="D4" s="550"/>
      <c r="E4" s="550"/>
      <c r="F4" s="550"/>
      <c r="G4" s="550"/>
      <c r="H4" s="550"/>
      <c r="I4" s="550"/>
      <c r="P4" s="122"/>
      <c r="Q4" s="12"/>
      <c r="R4" s="175" t="s">
        <v>459</v>
      </c>
    </row>
    <row r="5" spans="16:20" ht="13.5" thickBot="1">
      <c r="P5" s="175"/>
      <c r="T5" s="34" t="s">
        <v>460</v>
      </c>
    </row>
    <row r="6" spans="1:22" ht="12.75">
      <c r="A6" s="570"/>
      <c r="B6" s="571" t="s">
        <v>335</v>
      </c>
      <c r="C6" s="574" t="s">
        <v>336</v>
      </c>
      <c r="D6" s="577" t="s">
        <v>337</v>
      </c>
      <c r="E6" s="577"/>
      <c r="F6" s="578"/>
      <c r="G6" s="574" t="s">
        <v>338</v>
      </c>
      <c r="H6" s="577" t="s">
        <v>337</v>
      </c>
      <c r="I6" s="577"/>
      <c r="J6" s="565"/>
      <c r="K6" s="581" t="s">
        <v>339</v>
      </c>
      <c r="L6" s="577" t="s">
        <v>337</v>
      </c>
      <c r="M6" s="577"/>
      <c r="N6" s="578"/>
      <c r="O6" s="581" t="s">
        <v>340</v>
      </c>
      <c r="P6" s="577" t="s">
        <v>337</v>
      </c>
      <c r="Q6" s="577"/>
      <c r="R6" s="578"/>
      <c r="S6" s="581" t="s">
        <v>341</v>
      </c>
      <c r="T6" s="577" t="s">
        <v>337</v>
      </c>
      <c r="U6" s="577"/>
      <c r="V6" s="578"/>
    </row>
    <row r="7" spans="1:22" ht="12.75">
      <c r="A7" s="531"/>
      <c r="B7" s="572"/>
      <c r="C7" s="575"/>
      <c r="D7" s="579" t="s">
        <v>342</v>
      </c>
      <c r="E7" s="579"/>
      <c r="F7" s="580" t="s">
        <v>343</v>
      </c>
      <c r="G7" s="575"/>
      <c r="H7" s="579" t="s">
        <v>342</v>
      </c>
      <c r="I7" s="579"/>
      <c r="J7" s="567" t="s">
        <v>343</v>
      </c>
      <c r="K7" s="582"/>
      <c r="L7" s="579" t="s">
        <v>342</v>
      </c>
      <c r="M7" s="579"/>
      <c r="N7" s="580" t="s">
        <v>343</v>
      </c>
      <c r="O7" s="582"/>
      <c r="P7" s="579" t="s">
        <v>342</v>
      </c>
      <c r="Q7" s="579"/>
      <c r="R7" s="580" t="s">
        <v>343</v>
      </c>
      <c r="S7" s="582"/>
      <c r="T7" s="579" t="s">
        <v>342</v>
      </c>
      <c r="U7" s="579"/>
      <c r="V7" s="580" t="s">
        <v>343</v>
      </c>
    </row>
    <row r="8" spans="1:22" ht="48.75" thickBot="1">
      <c r="A8" s="531"/>
      <c r="B8" s="573"/>
      <c r="C8" s="576"/>
      <c r="D8" s="320" t="s">
        <v>336</v>
      </c>
      <c r="E8" s="321" t="s">
        <v>344</v>
      </c>
      <c r="F8" s="545"/>
      <c r="G8" s="576"/>
      <c r="H8" s="320" t="s">
        <v>336</v>
      </c>
      <c r="I8" s="321" t="s">
        <v>344</v>
      </c>
      <c r="J8" s="554"/>
      <c r="K8" s="583"/>
      <c r="L8" s="320" t="s">
        <v>336</v>
      </c>
      <c r="M8" s="321" t="s">
        <v>344</v>
      </c>
      <c r="N8" s="545"/>
      <c r="O8" s="583"/>
      <c r="P8" s="320" t="s">
        <v>336</v>
      </c>
      <c r="Q8" s="321" t="s">
        <v>344</v>
      </c>
      <c r="R8" s="545"/>
      <c r="S8" s="583"/>
      <c r="T8" s="320" t="s">
        <v>336</v>
      </c>
      <c r="U8" s="321" t="s">
        <v>344</v>
      </c>
      <c r="V8" s="545"/>
    </row>
    <row r="9" spans="1:22" ht="30.75" thickBot="1">
      <c r="A9" s="322">
        <v>1</v>
      </c>
      <c r="B9" s="323" t="s">
        <v>461</v>
      </c>
      <c r="C9" s="313">
        <f aca="true" t="shared" si="0" ref="C9:F25">G9+K9+O9+S9</f>
        <v>3428.210000000001</v>
      </c>
      <c r="D9" s="309">
        <f t="shared" si="0"/>
        <v>3408.210000000001</v>
      </c>
      <c r="E9" s="309">
        <f t="shared" si="0"/>
        <v>2134.433</v>
      </c>
      <c r="F9" s="313">
        <f t="shared" si="0"/>
        <v>20</v>
      </c>
      <c r="G9" s="324">
        <f>G13+G17+G18+G20+G25+G28+G31+SUM(G33:G43)+G23+G10</f>
        <v>2326.3790000000004</v>
      </c>
      <c r="H9" s="325">
        <f>H13+H17+H18+H20+H25+H28+H31+SUM(H33:H43)+H23+H10</f>
        <v>2306.3790000000004</v>
      </c>
      <c r="I9" s="325">
        <f>I13+I17+I18+I20+I25+I28+I31+SUM(I33:I43)+I23+I10</f>
        <v>1408.9370000000001</v>
      </c>
      <c r="J9" s="326">
        <f>J13+J17+J18+J20+J25+J28+J31+SUM(J33:J43)+J23+J10</f>
        <v>20</v>
      </c>
      <c r="K9" s="325">
        <f>K13+K17+K18+K20+K25+K28+K31+SUM(K33:K43)</f>
        <v>1065.5490000000002</v>
      </c>
      <c r="L9" s="309">
        <f>L13+L18+SUM(L33:L43)</f>
        <v>1065.5490000000002</v>
      </c>
      <c r="M9" s="309">
        <f>M13+M17+M18+M20+M25+M28+M31+SUM(M33:M43)</f>
        <v>724.068</v>
      </c>
      <c r="N9" s="314"/>
      <c r="O9" s="324"/>
      <c r="P9" s="309"/>
      <c r="Q9" s="309"/>
      <c r="R9" s="316"/>
      <c r="S9" s="324">
        <f>S13+S17+S18+S20+S25+S28+S31+SUM(S33:S43)</f>
        <v>36.282</v>
      </c>
      <c r="T9" s="309">
        <f>T20+SUM(T34:T43)</f>
        <v>36.282</v>
      </c>
      <c r="U9" s="309">
        <f>U20+SUM(U34:U43)</f>
        <v>1.428</v>
      </c>
      <c r="V9" s="316"/>
    </row>
    <row r="10" spans="1:22" ht="12.75">
      <c r="A10" s="327">
        <v>2</v>
      </c>
      <c r="B10" s="328" t="s">
        <v>345</v>
      </c>
      <c r="C10" s="329">
        <f t="shared" si="0"/>
        <v>134.242</v>
      </c>
      <c r="D10" s="329">
        <f>H10+L10+P10+T10</f>
        <v>134.242</v>
      </c>
      <c r="E10" s="329">
        <f>I10+M10+Q10+U10</f>
        <v>62.454</v>
      </c>
      <c r="F10" s="330"/>
      <c r="G10" s="331">
        <f>G11+G12</f>
        <v>134.242</v>
      </c>
      <c r="H10" s="332">
        <f>H11+H12</f>
        <v>134.242</v>
      </c>
      <c r="I10" s="332">
        <f>I11+I12</f>
        <v>62.454</v>
      </c>
      <c r="J10" s="333"/>
      <c r="K10" s="329"/>
      <c r="L10" s="334"/>
      <c r="M10" s="334"/>
      <c r="N10" s="335"/>
      <c r="O10" s="336"/>
      <c r="P10" s="334"/>
      <c r="Q10" s="334"/>
      <c r="R10" s="337"/>
      <c r="S10" s="336"/>
      <c r="T10" s="334"/>
      <c r="U10" s="334"/>
      <c r="V10" s="337"/>
    </row>
    <row r="11" spans="1:22" ht="12.75">
      <c r="A11" s="327">
        <v>3</v>
      </c>
      <c r="B11" s="193" t="s">
        <v>346</v>
      </c>
      <c r="C11" s="194">
        <f t="shared" si="0"/>
        <v>78.588</v>
      </c>
      <c r="D11" s="194">
        <f>H11+L11+P11+T11</f>
        <v>78.588</v>
      </c>
      <c r="E11" s="194">
        <f>I11+M11+Q11+U11</f>
        <v>60</v>
      </c>
      <c r="F11" s="195"/>
      <c r="G11" s="196">
        <f>H11+J11</f>
        <v>78.588</v>
      </c>
      <c r="H11" s="197">
        <v>78.588</v>
      </c>
      <c r="I11" s="197">
        <v>60</v>
      </c>
      <c r="J11" s="337"/>
      <c r="K11" s="338"/>
      <c r="L11" s="334"/>
      <c r="M11" s="334"/>
      <c r="N11" s="338"/>
      <c r="O11" s="339"/>
      <c r="P11" s="334"/>
      <c r="Q11" s="334"/>
      <c r="R11" s="340"/>
      <c r="S11" s="339"/>
      <c r="T11" s="334"/>
      <c r="U11" s="334"/>
      <c r="V11" s="340"/>
    </row>
    <row r="12" spans="1:22" ht="12.75">
      <c r="A12" s="327">
        <v>4</v>
      </c>
      <c r="B12" s="202" t="s">
        <v>347</v>
      </c>
      <c r="C12" s="194">
        <f t="shared" si="0"/>
        <v>55.654</v>
      </c>
      <c r="D12" s="194">
        <f t="shared" si="0"/>
        <v>55.654</v>
      </c>
      <c r="E12" s="203">
        <f t="shared" si="0"/>
        <v>2.454</v>
      </c>
      <c r="F12" s="195"/>
      <c r="G12" s="196">
        <f>H12+J12</f>
        <v>55.654</v>
      </c>
      <c r="H12" s="204">
        <v>55.654</v>
      </c>
      <c r="I12" s="197">
        <v>2.454</v>
      </c>
      <c r="J12" s="337"/>
      <c r="K12" s="338"/>
      <c r="L12" s="334"/>
      <c r="M12" s="334"/>
      <c r="N12" s="338"/>
      <c r="O12" s="339"/>
      <c r="P12" s="334"/>
      <c r="Q12" s="334"/>
      <c r="R12" s="340"/>
      <c r="S12" s="339"/>
      <c r="T12" s="334"/>
      <c r="U12" s="334"/>
      <c r="V12" s="340"/>
    </row>
    <row r="13" spans="1:22" ht="12.75">
      <c r="A13" s="327">
        <v>5</v>
      </c>
      <c r="B13" s="341" t="s">
        <v>462</v>
      </c>
      <c r="C13" s="329">
        <f t="shared" si="0"/>
        <v>1694.97</v>
      </c>
      <c r="D13" s="334">
        <f aca="true" t="shared" si="1" ref="D13:J13">SUM(D14:D16)</f>
        <v>1674.97</v>
      </c>
      <c r="E13" s="334">
        <f t="shared" si="1"/>
        <v>1110.062</v>
      </c>
      <c r="F13" s="335">
        <f t="shared" si="1"/>
        <v>20</v>
      </c>
      <c r="G13" s="336">
        <f t="shared" si="1"/>
        <v>1370.221</v>
      </c>
      <c r="H13" s="334">
        <f t="shared" si="1"/>
        <v>1350.221</v>
      </c>
      <c r="I13" s="334">
        <f t="shared" si="1"/>
        <v>905.842</v>
      </c>
      <c r="J13" s="337">
        <f t="shared" si="1"/>
        <v>20</v>
      </c>
      <c r="K13" s="338">
        <f>K14+K15+K16</f>
        <v>324.749</v>
      </c>
      <c r="L13" s="209">
        <f>L14+L15+L16</f>
        <v>324.749</v>
      </c>
      <c r="M13" s="209">
        <f>M14+M15+M16</f>
        <v>204.22</v>
      </c>
      <c r="N13" s="338"/>
      <c r="O13" s="339"/>
      <c r="P13" s="334"/>
      <c r="Q13" s="334"/>
      <c r="R13" s="340"/>
      <c r="S13" s="339"/>
      <c r="T13" s="334"/>
      <c r="U13" s="334"/>
      <c r="V13" s="340"/>
    </row>
    <row r="14" spans="1:22" ht="12.75">
      <c r="A14" s="342">
        <f>+A13+1</f>
        <v>6</v>
      </c>
      <c r="B14" s="242" t="s">
        <v>463</v>
      </c>
      <c r="C14" s="194">
        <f t="shared" si="0"/>
        <v>1623.97</v>
      </c>
      <c r="D14" s="203">
        <f t="shared" si="0"/>
        <v>1603.97</v>
      </c>
      <c r="E14" s="203">
        <f t="shared" si="0"/>
        <v>1110.062</v>
      </c>
      <c r="F14" s="203">
        <f t="shared" si="0"/>
        <v>20</v>
      </c>
      <c r="G14" s="196">
        <f aca="true" t="shared" si="2" ref="G14:G24">H14+J14</f>
        <v>1299.221</v>
      </c>
      <c r="H14" s="203">
        <v>1279.221</v>
      </c>
      <c r="I14" s="343">
        <v>905.842</v>
      </c>
      <c r="J14" s="344">
        <v>20</v>
      </c>
      <c r="K14" s="194">
        <f>L14+N14</f>
        <v>324.749</v>
      </c>
      <c r="L14" s="345">
        <v>324.749</v>
      </c>
      <c r="M14" s="343">
        <v>204.22</v>
      </c>
      <c r="N14" s="346"/>
      <c r="O14" s="347"/>
      <c r="P14" s="345"/>
      <c r="Q14" s="345"/>
      <c r="R14" s="344"/>
      <c r="S14" s="196"/>
      <c r="T14" s="345"/>
      <c r="U14" s="345"/>
      <c r="V14" s="344"/>
    </row>
    <row r="15" spans="1:22" ht="12.75">
      <c r="A15" s="342">
        <v>7</v>
      </c>
      <c r="B15" s="242" t="s">
        <v>464</v>
      </c>
      <c r="C15" s="194">
        <f t="shared" si="0"/>
        <v>1</v>
      </c>
      <c r="D15" s="345">
        <f t="shared" si="0"/>
        <v>1</v>
      </c>
      <c r="E15" s="345"/>
      <c r="F15" s="335"/>
      <c r="G15" s="196">
        <f t="shared" si="2"/>
        <v>1</v>
      </c>
      <c r="H15" s="345">
        <v>1</v>
      </c>
      <c r="I15" s="345"/>
      <c r="J15" s="344"/>
      <c r="K15" s="207"/>
      <c r="L15" s="345"/>
      <c r="M15" s="345"/>
      <c r="N15" s="346"/>
      <c r="O15" s="347"/>
      <c r="P15" s="345"/>
      <c r="Q15" s="345"/>
      <c r="R15" s="344"/>
      <c r="S15" s="347"/>
      <c r="T15" s="345"/>
      <c r="U15" s="345"/>
      <c r="V15" s="344"/>
    </row>
    <row r="16" spans="1:22" ht="12.75">
      <c r="A16" s="342">
        <f>+A15+1</f>
        <v>8</v>
      </c>
      <c r="B16" s="242" t="s">
        <v>465</v>
      </c>
      <c r="C16" s="194">
        <f t="shared" si="0"/>
        <v>70</v>
      </c>
      <c r="D16" s="345">
        <f t="shared" si="0"/>
        <v>70</v>
      </c>
      <c r="E16" s="345"/>
      <c r="F16" s="335"/>
      <c r="G16" s="196">
        <f t="shared" si="2"/>
        <v>70</v>
      </c>
      <c r="H16" s="345">
        <v>70</v>
      </c>
      <c r="I16" s="345"/>
      <c r="J16" s="344"/>
      <c r="K16" s="207"/>
      <c r="L16" s="345"/>
      <c r="M16" s="345"/>
      <c r="N16" s="346"/>
      <c r="O16" s="347"/>
      <c r="P16" s="345"/>
      <c r="Q16" s="345"/>
      <c r="R16" s="344"/>
      <c r="S16" s="347"/>
      <c r="T16" s="345"/>
      <c r="U16" s="345"/>
      <c r="V16" s="344"/>
    </row>
    <row r="17" spans="1:22" ht="12.75">
      <c r="A17" s="342">
        <v>9</v>
      </c>
      <c r="B17" s="206" t="s">
        <v>466</v>
      </c>
      <c r="C17" s="207">
        <f t="shared" si="0"/>
        <v>34.969</v>
      </c>
      <c r="D17" s="209">
        <f t="shared" si="0"/>
        <v>34.969</v>
      </c>
      <c r="E17" s="209">
        <f>I17+M17+Q17+U17</f>
        <v>25.89</v>
      </c>
      <c r="F17" s="346"/>
      <c r="G17" s="211">
        <f t="shared" si="2"/>
        <v>34.969</v>
      </c>
      <c r="H17" s="209">
        <v>34.969</v>
      </c>
      <c r="I17" s="209">
        <v>25.89</v>
      </c>
      <c r="J17" s="344"/>
      <c r="K17" s="207"/>
      <c r="L17" s="345"/>
      <c r="M17" s="345"/>
      <c r="N17" s="346"/>
      <c r="O17" s="347"/>
      <c r="P17" s="345"/>
      <c r="Q17" s="345"/>
      <c r="R17" s="344"/>
      <c r="S17" s="347"/>
      <c r="T17" s="345"/>
      <c r="U17" s="345"/>
      <c r="V17" s="344"/>
    </row>
    <row r="18" spans="1:22" ht="12.75">
      <c r="A18" s="342">
        <v>10</v>
      </c>
      <c r="B18" s="206" t="s">
        <v>467</v>
      </c>
      <c r="C18" s="207">
        <f t="shared" si="0"/>
        <v>3.2</v>
      </c>
      <c r="D18" s="209">
        <f t="shared" si="0"/>
        <v>3.2</v>
      </c>
      <c r="E18" s="209"/>
      <c r="F18" s="346"/>
      <c r="G18" s="211"/>
      <c r="H18" s="348"/>
      <c r="I18" s="209"/>
      <c r="J18" s="349"/>
      <c r="K18" s="348">
        <f>K19</f>
        <v>3.2</v>
      </c>
      <c r="L18" s="209">
        <f>L19</f>
        <v>3.2</v>
      </c>
      <c r="M18" s="345"/>
      <c r="N18" s="346"/>
      <c r="O18" s="347"/>
      <c r="P18" s="345"/>
      <c r="Q18" s="345"/>
      <c r="R18" s="344"/>
      <c r="S18" s="347"/>
      <c r="T18" s="345"/>
      <c r="U18" s="345"/>
      <c r="V18" s="344"/>
    </row>
    <row r="19" spans="1:22" ht="12.75">
      <c r="A19" s="342">
        <v>11</v>
      </c>
      <c r="B19" s="242" t="s">
        <v>468</v>
      </c>
      <c r="C19" s="194">
        <f t="shared" si="0"/>
        <v>3.2</v>
      </c>
      <c r="D19" s="203">
        <f t="shared" si="0"/>
        <v>3.2</v>
      </c>
      <c r="E19" s="209"/>
      <c r="F19" s="346"/>
      <c r="G19" s="196"/>
      <c r="H19" s="237"/>
      <c r="I19" s="209"/>
      <c r="J19" s="349"/>
      <c r="K19" s="237">
        <f>L19+M19+N19</f>
        <v>3.2</v>
      </c>
      <c r="L19" s="345">
        <v>3.2</v>
      </c>
      <c r="M19" s="345"/>
      <c r="N19" s="346"/>
      <c r="O19" s="347"/>
      <c r="P19" s="345"/>
      <c r="Q19" s="345"/>
      <c r="R19" s="344"/>
      <c r="S19" s="347"/>
      <c r="T19" s="345"/>
      <c r="U19" s="345"/>
      <c r="V19" s="344"/>
    </row>
    <row r="20" spans="1:22" ht="12.75">
      <c r="A20" s="342">
        <v>12</v>
      </c>
      <c r="B20" s="206" t="s">
        <v>268</v>
      </c>
      <c r="C20" s="207">
        <f t="shared" si="0"/>
        <v>36</v>
      </c>
      <c r="D20" s="209">
        <f t="shared" si="0"/>
        <v>36</v>
      </c>
      <c r="E20" s="209"/>
      <c r="F20" s="210"/>
      <c r="G20" s="232">
        <f t="shared" si="2"/>
        <v>10</v>
      </c>
      <c r="H20" s="209">
        <f>H21+H22</f>
        <v>10</v>
      </c>
      <c r="I20" s="209"/>
      <c r="J20" s="233"/>
      <c r="K20" s="348"/>
      <c r="L20" s="209"/>
      <c r="M20" s="209"/>
      <c r="N20" s="348"/>
      <c r="O20" s="232"/>
      <c r="P20" s="209"/>
      <c r="Q20" s="209"/>
      <c r="R20" s="233"/>
      <c r="S20" s="232">
        <f>S21+S22</f>
        <v>26</v>
      </c>
      <c r="T20" s="209">
        <f>T21+T22</f>
        <v>26</v>
      </c>
      <c r="U20" s="209"/>
      <c r="V20" s="212"/>
    </row>
    <row r="21" spans="1:22" ht="12.75">
      <c r="A21" s="342">
        <v>13</v>
      </c>
      <c r="B21" s="242" t="s">
        <v>469</v>
      </c>
      <c r="C21" s="194">
        <f t="shared" si="0"/>
        <v>10</v>
      </c>
      <c r="D21" s="345">
        <f t="shared" si="0"/>
        <v>10</v>
      </c>
      <c r="E21" s="345"/>
      <c r="F21" s="346"/>
      <c r="G21" s="196">
        <f t="shared" si="2"/>
        <v>10</v>
      </c>
      <c r="H21" s="345">
        <v>10</v>
      </c>
      <c r="I21" s="345"/>
      <c r="J21" s="344"/>
      <c r="K21" s="207"/>
      <c r="L21" s="346"/>
      <c r="M21" s="345"/>
      <c r="N21" s="346"/>
      <c r="O21" s="347"/>
      <c r="P21" s="345"/>
      <c r="Q21" s="345"/>
      <c r="R21" s="344"/>
      <c r="S21" s="347"/>
      <c r="T21" s="345"/>
      <c r="U21" s="345"/>
      <c r="V21" s="344"/>
    </row>
    <row r="22" spans="1:22" ht="15.75">
      <c r="A22" s="342">
        <v>14</v>
      </c>
      <c r="B22" s="242" t="s">
        <v>470</v>
      </c>
      <c r="C22" s="194">
        <f t="shared" si="0"/>
        <v>26</v>
      </c>
      <c r="D22" s="345">
        <f t="shared" si="0"/>
        <v>26</v>
      </c>
      <c r="E22" s="345"/>
      <c r="F22" s="346"/>
      <c r="G22" s="350"/>
      <c r="H22" s="345"/>
      <c r="I22" s="345"/>
      <c r="J22" s="344"/>
      <c r="K22" s="351"/>
      <c r="L22" s="346"/>
      <c r="M22" s="345"/>
      <c r="N22" s="346"/>
      <c r="O22" s="347"/>
      <c r="P22" s="345"/>
      <c r="Q22" s="345"/>
      <c r="R22" s="344"/>
      <c r="S22" s="196">
        <f>T22+V22</f>
        <v>26</v>
      </c>
      <c r="T22" s="345">
        <v>26</v>
      </c>
      <c r="U22" s="345"/>
      <c r="V22" s="344"/>
    </row>
    <row r="23" spans="1:22" ht="12.75">
      <c r="A23" s="342">
        <v>15</v>
      </c>
      <c r="B23" s="206" t="s">
        <v>471</v>
      </c>
      <c r="C23" s="207">
        <f t="shared" si="0"/>
        <v>5</v>
      </c>
      <c r="D23" s="209">
        <f t="shared" si="0"/>
        <v>5</v>
      </c>
      <c r="E23" s="209">
        <f t="shared" si="0"/>
        <v>3.817</v>
      </c>
      <c r="F23" s="210"/>
      <c r="G23" s="211">
        <f t="shared" si="2"/>
        <v>5</v>
      </c>
      <c r="H23" s="209">
        <f>H24</f>
        <v>5</v>
      </c>
      <c r="I23" s="209">
        <f>I24</f>
        <v>3.817</v>
      </c>
      <c r="J23" s="349"/>
      <c r="K23" s="352"/>
      <c r="L23" s="346"/>
      <c r="M23" s="345"/>
      <c r="N23" s="346"/>
      <c r="O23" s="347"/>
      <c r="P23" s="345"/>
      <c r="Q23" s="345"/>
      <c r="R23" s="344"/>
      <c r="S23" s="347"/>
      <c r="T23" s="345"/>
      <c r="U23" s="345"/>
      <c r="V23" s="344"/>
    </row>
    <row r="24" spans="1:22" ht="12.75">
      <c r="A24" s="342">
        <v>16</v>
      </c>
      <c r="B24" s="242" t="s">
        <v>472</v>
      </c>
      <c r="C24" s="194">
        <f t="shared" si="0"/>
        <v>5</v>
      </c>
      <c r="D24" s="345">
        <f t="shared" si="0"/>
        <v>5</v>
      </c>
      <c r="E24" s="345">
        <f t="shared" si="0"/>
        <v>3.817</v>
      </c>
      <c r="F24" s="346"/>
      <c r="G24" s="196">
        <f t="shared" si="2"/>
        <v>5</v>
      </c>
      <c r="H24" s="345">
        <v>5</v>
      </c>
      <c r="I24" s="345">
        <v>3.817</v>
      </c>
      <c r="J24" s="349"/>
      <c r="K24" s="352"/>
      <c r="L24" s="346"/>
      <c r="M24" s="345"/>
      <c r="N24" s="346"/>
      <c r="O24" s="347"/>
      <c r="P24" s="345"/>
      <c r="Q24" s="345"/>
      <c r="R24" s="344"/>
      <c r="S24" s="347"/>
      <c r="T24" s="345"/>
      <c r="U24" s="345"/>
      <c r="V24" s="344"/>
    </row>
    <row r="25" spans="1:22" ht="12.75">
      <c r="A25" s="342">
        <v>17</v>
      </c>
      <c r="B25" s="206" t="s">
        <v>473</v>
      </c>
      <c r="C25" s="207">
        <f t="shared" si="0"/>
        <v>78.9</v>
      </c>
      <c r="D25" s="209">
        <f t="shared" si="0"/>
        <v>78.9</v>
      </c>
      <c r="E25" s="209"/>
      <c r="F25" s="210"/>
      <c r="G25" s="232">
        <f>G26+G27</f>
        <v>78.9</v>
      </c>
      <c r="H25" s="209">
        <f>H26+H27</f>
        <v>78.9</v>
      </c>
      <c r="I25" s="209"/>
      <c r="J25" s="233"/>
      <c r="K25" s="352"/>
      <c r="L25" s="345"/>
      <c r="M25" s="345"/>
      <c r="N25" s="346"/>
      <c r="O25" s="347"/>
      <c r="P25" s="345"/>
      <c r="Q25" s="345"/>
      <c r="R25" s="344"/>
      <c r="S25" s="347"/>
      <c r="T25" s="345"/>
      <c r="U25" s="345"/>
      <c r="V25" s="344"/>
    </row>
    <row r="26" spans="1:22" ht="24">
      <c r="A26" s="342">
        <v>18</v>
      </c>
      <c r="B26" s="353" t="s">
        <v>474</v>
      </c>
      <c r="C26" s="194">
        <f aca="true" t="shared" si="3" ref="C26:E55">G26+K26+O26+S26</f>
        <v>50</v>
      </c>
      <c r="D26" s="345">
        <f t="shared" si="3"/>
        <v>50</v>
      </c>
      <c r="E26" s="345"/>
      <c r="F26" s="346"/>
      <c r="G26" s="354">
        <f>H26+J26</f>
        <v>50</v>
      </c>
      <c r="H26" s="345">
        <v>50</v>
      </c>
      <c r="I26" s="345"/>
      <c r="J26" s="349"/>
      <c r="K26" s="352"/>
      <c r="L26" s="345"/>
      <c r="M26" s="345"/>
      <c r="N26" s="346"/>
      <c r="O26" s="347"/>
      <c r="P26" s="345"/>
      <c r="Q26" s="345"/>
      <c r="R26" s="344"/>
      <c r="S26" s="347"/>
      <c r="T26" s="345"/>
      <c r="U26" s="345"/>
      <c r="V26" s="344"/>
    </row>
    <row r="27" spans="1:22" ht="25.5">
      <c r="A27" s="342">
        <v>19</v>
      </c>
      <c r="B27" s="355" t="s">
        <v>475</v>
      </c>
      <c r="C27" s="194">
        <f t="shared" si="3"/>
        <v>28.9</v>
      </c>
      <c r="D27" s="345">
        <f t="shared" si="3"/>
        <v>28.9</v>
      </c>
      <c r="E27" s="345"/>
      <c r="F27" s="346"/>
      <c r="G27" s="354">
        <f>H27+J27</f>
        <v>28.9</v>
      </c>
      <c r="H27" s="345">
        <v>28.9</v>
      </c>
      <c r="I27" s="345"/>
      <c r="J27" s="349"/>
      <c r="K27" s="352"/>
      <c r="L27" s="345"/>
      <c r="M27" s="345"/>
      <c r="N27" s="346"/>
      <c r="O27" s="347"/>
      <c r="P27" s="345"/>
      <c r="Q27" s="345"/>
      <c r="R27" s="344"/>
      <c r="S27" s="347"/>
      <c r="T27" s="345"/>
      <c r="U27" s="345"/>
      <c r="V27" s="344"/>
    </row>
    <row r="28" spans="1:22" ht="12.75">
      <c r="A28" s="342">
        <f>+A27+1</f>
        <v>20</v>
      </c>
      <c r="B28" s="206" t="s">
        <v>476</v>
      </c>
      <c r="C28" s="207">
        <f t="shared" si="3"/>
        <v>2.8</v>
      </c>
      <c r="D28" s="209">
        <f t="shared" si="3"/>
        <v>2.8</v>
      </c>
      <c r="E28" s="345"/>
      <c r="F28" s="346"/>
      <c r="G28" s="232">
        <f>G29+G30</f>
        <v>2.8</v>
      </c>
      <c r="H28" s="209">
        <f>H29+H30</f>
        <v>2.8</v>
      </c>
      <c r="I28" s="345"/>
      <c r="J28" s="349"/>
      <c r="K28" s="352"/>
      <c r="L28" s="345"/>
      <c r="M28" s="345"/>
      <c r="N28" s="346"/>
      <c r="O28" s="347"/>
      <c r="P28" s="345"/>
      <c r="Q28" s="345"/>
      <c r="R28" s="344"/>
      <c r="S28" s="347"/>
      <c r="T28" s="345"/>
      <c r="U28" s="345"/>
      <c r="V28" s="344"/>
    </row>
    <row r="29" spans="1:22" ht="12.75">
      <c r="A29" s="342">
        <f>+A28+1</f>
        <v>21</v>
      </c>
      <c r="B29" s="356" t="s">
        <v>477</v>
      </c>
      <c r="C29" s="194">
        <f t="shared" si="3"/>
        <v>1.4</v>
      </c>
      <c r="D29" s="345">
        <f t="shared" si="3"/>
        <v>1.4</v>
      </c>
      <c r="E29" s="345"/>
      <c r="F29" s="346"/>
      <c r="G29" s="354">
        <f>H29+J29</f>
        <v>1.4</v>
      </c>
      <c r="H29" s="345">
        <v>1.4</v>
      </c>
      <c r="I29" s="345"/>
      <c r="J29" s="349"/>
      <c r="K29" s="352"/>
      <c r="L29" s="345"/>
      <c r="M29" s="345"/>
      <c r="N29" s="346"/>
      <c r="O29" s="347"/>
      <c r="P29" s="345"/>
      <c r="Q29" s="345"/>
      <c r="R29" s="344"/>
      <c r="S29" s="347"/>
      <c r="T29" s="345"/>
      <c r="U29" s="345"/>
      <c r="V29" s="344"/>
    </row>
    <row r="30" spans="1:22" ht="12.75">
      <c r="A30" s="342">
        <f>+A29+1</f>
        <v>22</v>
      </c>
      <c r="B30" s="242" t="s">
        <v>478</v>
      </c>
      <c r="C30" s="194">
        <f t="shared" si="3"/>
        <v>1.4</v>
      </c>
      <c r="D30" s="345">
        <f t="shared" si="3"/>
        <v>1.4</v>
      </c>
      <c r="E30" s="345"/>
      <c r="F30" s="346"/>
      <c r="G30" s="354">
        <f>H30+J30</f>
        <v>1.4</v>
      </c>
      <c r="H30" s="345">
        <v>1.4</v>
      </c>
      <c r="I30" s="345"/>
      <c r="J30" s="349"/>
      <c r="K30" s="352"/>
      <c r="L30" s="345"/>
      <c r="M30" s="345"/>
      <c r="N30" s="346"/>
      <c r="O30" s="347"/>
      <c r="P30" s="345"/>
      <c r="Q30" s="345"/>
      <c r="R30" s="344"/>
      <c r="S30" s="347"/>
      <c r="T30" s="345"/>
      <c r="U30" s="345"/>
      <c r="V30" s="344"/>
    </row>
    <row r="31" spans="1:22" ht="12.75">
      <c r="A31" s="342">
        <f>+A30+1</f>
        <v>23</v>
      </c>
      <c r="B31" s="206" t="s">
        <v>479</v>
      </c>
      <c r="C31" s="207">
        <f t="shared" si="3"/>
        <v>94.218</v>
      </c>
      <c r="D31" s="209">
        <f t="shared" si="3"/>
        <v>94.218</v>
      </c>
      <c r="E31" s="345"/>
      <c r="F31" s="346"/>
      <c r="G31" s="232">
        <f>H31</f>
        <v>94.218</v>
      </c>
      <c r="H31" s="209">
        <f>H32</f>
        <v>94.218</v>
      </c>
      <c r="I31" s="345"/>
      <c r="J31" s="349"/>
      <c r="K31" s="352"/>
      <c r="L31" s="345"/>
      <c r="M31" s="345"/>
      <c r="N31" s="346"/>
      <c r="O31" s="347"/>
      <c r="P31" s="345"/>
      <c r="Q31" s="345"/>
      <c r="R31" s="344"/>
      <c r="S31" s="347"/>
      <c r="T31" s="345"/>
      <c r="U31" s="345"/>
      <c r="V31" s="344"/>
    </row>
    <row r="32" spans="1:22" ht="12.75">
      <c r="A32" s="342">
        <f>+A31+1</f>
        <v>24</v>
      </c>
      <c r="B32" s="242" t="s">
        <v>480</v>
      </c>
      <c r="C32" s="194">
        <f t="shared" si="3"/>
        <v>94.218</v>
      </c>
      <c r="D32" s="345">
        <f t="shared" si="3"/>
        <v>94.218</v>
      </c>
      <c r="E32" s="345"/>
      <c r="F32" s="346"/>
      <c r="G32" s="347">
        <f aca="true" t="shared" si="4" ref="G32:G43">H32+J32</f>
        <v>94.218</v>
      </c>
      <c r="H32" s="345">
        <v>94.218</v>
      </c>
      <c r="I32" s="345"/>
      <c r="J32" s="344"/>
      <c r="K32" s="351"/>
      <c r="L32" s="345"/>
      <c r="M32" s="345"/>
      <c r="N32" s="346"/>
      <c r="O32" s="347"/>
      <c r="P32" s="345"/>
      <c r="Q32" s="345"/>
      <c r="R32" s="344"/>
      <c r="S32" s="347"/>
      <c r="T32" s="345"/>
      <c r="U32" s="345"/>
      <c r="V32" s="344"/>
    </row>
    <row r="33" spans="1:22" ht="12.75">
      <c r="A33" s="342">
        <v>25</v>
      </c>
      <c r="B33" s="206" t="s">
        <v>84</v>
      </c>
      <c r="C33" s="207">
        <f t="shared" si="3"/>
        <v>689.5930000000001</v>
      </c>
      <c r="D33" s="209">
        <f t="shared" si="3"/>
        <v>689.5930000000001</v>
      </c>
      <c r="E33" s="209">
        <f t="shared" si="3"/>
        <v>492.854</v>
      </c>
      <c r="F33" s="210"/>
      <c r="G33" s="211">
        <f t="shared" si="4"/>
        <v>31.993</v>
      </c>
      <c r="H33" s="209">
        <v>31.993</v>
      </c>
      <c r="I33" s="209">
        <v>24.426</v>
      </c>
      <c r="J33" s="212"/>
      <c r="K33" s="207">
        <f>L33+N33</f>
        <v>657.6</v>
      </c>
      <c r="L33" s="209">
        <v>657.6</v>
      </c>
      <c r="M33" s="218">
        <v>468.428</v>
      </c>
      <c r="N33" s="210"/>
      <c r="O33" s="211"/>
      <c r="P33" s="209"/>
      <c r="Q33" s="209"/>
      <c r="R33" s="212"/>
      <c r="S33" s="211"/>
      <c r="T33" s="209"/>
      <c r="U33" s="209"/>
      <c r="V33" s="212"/>
    </row>
    <row r="34" spans="1:22" ht="12.75">
      <c r="A34" s="342">
        <v>26</v>
      </c>
      <c r="B34" s="206" t="s">
        <v>116</v>
      </c>
      <c r="C34" s="207">
        <f t="shared" si="3"/>
        <v>68.41999999999999</v>
      </c>
      <c r="D34" s="209">
        <f t="shared" si="3"/>
        <v>68.41999999999999</v>
      </c>
      <c r="E34" s="209">
        <f t="shared" si="3"/>
        <v>41.728</v>
      </c>
      <c r="F34" s="210"/>
      <c r="G34" s="211">
        <f t="shared" si="4"/>
        <v>59.22</v>
      </c>
      <c r="H34" s="209">
        <v>59.22</v>
      </c>
      <c r="I34" s="209">
        <v>35.908</v>
      </c>
      <c r="J34" s="212"/>
      <c r="K34" s="207">
        <f aca="true" t="shared" si="5" ref="K34:K43">L34+N34</f>
        <v>9.1</v>
      </c>
      <c r="L34" s="209">
        <v>9.1</v>
      </c>
      <c r="M34" s="209">
        <v>5.82</v>
      </c>
      <c r="N34" s="214"/>
      <c r="O34" s="211"/>
      <c r="P34" s="209"/>
      <c r="Q34" s="209"/>
      <c r="R34" s="212"/>
      <c r="S34" s="211">
        <f aca="true" t="shared" si="6" ref="S34:S43">T34+V34</f>
        <v>0.1</v>
      </c>
      <c r="T34" s="209">
        <v>0.1</v>
      </c>
      <c r="U34" s="209"/>
      <c r="V34" s="216"/>
    </row>
    <row r="35" spans="1:22" ht="12.75">
      <c r="A35" s="342">
        <f aca="true" t="shared" si="7" ref="A35:A43">+A34+1</f>
        <v>27</v>
      </c>
      <c r="B35" s="206" t="s">
        <v>117</v>
      </c>
      <c r="C35" s="207">
        <f t="shared" si="3"/>
        <v>70.31</v>
      </c>
      <c r="D35" s="209">
        <f t="shared" si="3"/>
        <v>70.31</v>
      </c>
      <c r="E35" s="209">
        <f t="shared" si="3"/>
        <v>46.334</v>
      </c>
      <c r="F35" s="210"/>
      <c r="G35" s="211">
        <f t="shared" si="4"/>
        <v>59.91</v>
      </c>
      <c r="H35" s="209">
        <v>59.91</v>
      </c>
      <c r="I35" s="209">
        <v>40.514</v>
      </c>
      <c r="J35" s="216"/>
      <c r="K35" s="207">
        <f t="shared" si="5"/>
        <v>9</v>
      </c>
      <c r="L35" s="209">
        <v>9</v>
      </c>
      <c r="M35" s="209">
        <v>5.82</v>
      </c>
      <c r="N35" s="214"/>
      <c r="O35" s="211"/>
      <c r="P35" s="209"/>
      <c r="Q35" s="209"/>
      <c r="R35" s="212"/>
      <c r="S35" s="211">
        <f t="shared" si="6"/>
        <v>1.4</v>
      </c>
      <c r="T35" s="209">
        <v>1.4</v>
      </c>
      <c r="U35" s="209"/>
      <c r="V35" s="212"/>
    </row>
    <row r="36" spans="1:22" ht="12.75">
      <c r="A36" s="342">
        <f t="shared" si="7"/>
        <v>28</v>
      </c>
      <c r="B36" s="206" t="s">
        <v>118</v>
      </c>
      <c r="C36" s="207">
        <f t="shared" si="3"/>
        <v>60.11</v>
      </c>
      <c r="D36" s="209">
        <f t="shared" si="3"/>
        <v>60.11</v>
      </c>
      <c r="E36" s="209">
        <f t="shared" si="3"/>
        <v>40.637</v>
      </c>
      <c r="F36" s="210"/>
      <c r="G36" s="211">
        <f t="shared" si="4"/>
        <v>50.11</v>
      </c>
      <c r="H36" s="209">
        <v>50.11</v>
      </c>
      <c r="I36" s="209">
        <v>34.817</v>
      </c>
      <c r="J36" s="216"/>
      <c r="K36" s="207">
        <f t="shared" si="5"/>
        <v>9</v>
      </c>
      <c r="L36" s="209">
        <v>9</v>
      </c>
      <c r="M36" s="209">
        <v>5.82</v>
      </c>
      <c r="N36" s="214"/>
      <c r="O36" s="211"/>
      <c r="P36" s="209"/>
      <c r="Q36" s="209"/>
      <c r="R36" s="212"/>
      <c r="S36" s="211">
        <f t="shared" si="6"/>
        <v>1</v>
      </c>
      <c r="T36" s="209">
        <v>1</v>
      </c>
      <c r="U36" s="209"/>
      <c r="V36" s="216"/>
    </row>
    <row r="37" spans="1:22" ht="12.75">
      <c r="A37" s="342">
        <f t="shared" si="7"/>
        <v>29</v>
      </c>
      <c r="B37" s="206" t="s">
        <v>119</v>
      </c>
      <c r="C37" s="207">
        <f t="shared" si="3"/>
        <v>46.357000000000006</v>
      </c>
      <c r="D37" s="209">
        <f t="shared" si="3"/>
        <v>46.357000000000006</v>
      </c>
      <c r="E37" s="209">
        <f t="shared" si="3"/>
        <v>33.051</v>
      </c>
      <c r="F37" s="210"/>
      <c r="G37" s="211">
        <f t="shared" si="4"/>
        <v>38.837</v>
      </c>
      <c r="H37" s="209">
        <v>38.837</v>
      </c>
      <c r="I37" s="209">
        <v>28.181</v>
      </c>
      <c r="J37" s="216"/>
      <c r="K37" s="207">
        <f t="shared" si="5"/>
        <v>7.5</v>
      </c>
      <c r="L37" s="209">
        <v>7.5</v>
      </c>
      <c r="M37" s="209">
        <v>4.87</v>
      </c>
      <c r="N37" s="214"/>
      <c r="O37" s="211"/>
      <c r="P37" s="209"/>
      <c r="Q37" s="209"/>
      <c r="R37" s="212"/>
      <c r="S37" s="211">
        <f t="shared" si="6"/>
        <v>0.02</v>
      </c>
      <c r="T37" s="209">
        <v>0.02</v>
      </c>
      <c r="U37" s="209"/>
      <c r="V37" s="216"/>
    </row>
    <row r="38" spans="1:22" ht="12.75">
      <c r="A38" s="342">
        <f t="shared" si="7"/>
        <v>30</v>
      </c>
      <c r="B38" s="206" t="s">
        <v>120</v>
      </c>
      <c r="C38" s="207">
        <f t="shared" si="3"/>
        <v>60.674</v>
      </c>
      <c r="D38" s="209">
        <f t="shared" si="3"/>
        <v>60.674</v>
      </c>
      <c r="E38" s="209">
        <f t="shared" si="3"/>
        <v>41.852000000000004</v>
      </c>
      <c r="F38" s="210"/>
      <c r="G38" s="211">
        <f t="shared" si="4"/>
        <v>52.522</v>
      </c>
      <c r="H38" s="209">
        <v>52.522</v>
      </c>
      <c r="I38" s="209">
        <v>37.372</v>
      </c>
      <c r="J38" s="216"/>
      <c r="K38" s="207">
        <f t="shared" si="5"/>
        <v>7.1</v>
      </c>
      <c r="L38" s="209">
        <v>7.1</v>
      </c>
      <c r="M38" s="209">
        <v>4.48</v>
      </c>
      <c r="N38" s="214"/>
      <c r="O38" s="211"/>
      <c r="P38" s="209"/>
      <c r="Q38" s="209"/>
      <c r="R38" s="212"/>
      <c r="S38" s="211">
        <f t="shared" si="6"/>
        <v>1.052</v>
      </c>
      <c r="T38" s="209">
        <v>1.052</v>
      </c>
      <c r="U38" s="209"/>
      <c r="V38" s="216"/>
    </row>
    <row r="39" spans="1:22" ht="12.75">
      <c r="A39" s="342">
        <f t="shared" si="7"/>
        <v>31</v>
      </c>
      <c r="B39" s="206" t="s">
        <v>121</v>
      </c>
      <c r="C39" s="207">
        <f t="shared" si="3"/>
        <v>71.031</v>
      </c>
      <c r="D39" s="209">
        <f t="shared" si="3"/>
        <v>71.031</v>
      </c>
      <c r="E39" s="209">
        <f t="shared" si="3"/>
        <v>46.64</v>
      </c>
      <c r="F39" s="210"/>
      <c r="G39" s="211">
        <f t="shared" si="4"/>
        <v>59.331</v>
      </c>
      <c r="H39" s="209">
        <v>59.331</v>
      </c>
      <c r="I39" s="209">
        <v>40.27</v>
      </c>
      <c r="J39" s="212"/>
      <c r="K39" s="207">
        <f t="shared" si="5"/>
        <v>9.9</v>
      </c>
      <c r="L39" s="209">
        <v>9.9</v>
      </c>
      <c r="M39" s="209">
        <v>6.37</v>
      </c>
      <c r="N39" s="214"/>
      <c r="O39" s="211"/>
      <c r="P39" s="209"/>
      <c r="Q39" s="209"/>
      <c r="R39" s="212"/>
      <c r="S39" s="211">
        <f t="shared" si="6"/>
        <v>1.8</v>
      </c>
      <c r="T39" s="209">
        <v>1.8</v>
      </c>
      <c r="U39" s="209"/>
      <c r="V39" s="216"/>
    </row>
    <row r="40" spans="1:22" ht="12.75">
      <c r="A40" s="342">
        <f t="shared" si="7"/>
        <v>32</v>
      </c>
      <c r="B40" s="206" t="s">
        <v>122</v>
      </c>
      <c r="C40" s="207">
        <f t="shared" si="3"/>
        <v>71.892</v>
      </c>
      <c r="D40" s="209">
        <f t="shared" si="3"/>
        <v>71.892</v>
      </c>
      <c r="E40" s="209">
        <f t="shared" si="3"/>
        <v>48.551</v>
      </c>
      <c r="F40" s="210"/>
      <c r="G40" s="211">
        <f t="shared" si="4"/>
        <v>60.952</v>
      </c>
      <c r="H40" s="209">
        <v>60.952</v>
      </c>
      <c r="I40" s="209">
        <v>42.731</v>
      </c>
      <c r="J40" s="216"/>
      <c r="K40" s="207">
        <f t="shared" si="5"/>
        <v>9.2</v>
      </c>
      <c r="L40" s="209">
        <v>9.2</v>
      </c>
      <c r="M40" s="209">
        <v>5.82</v>
      </c>
      <c r="N40" s="214"/>
      <c r="O40" s="211"/>
      <c r="P40" s="209"/>
      <c r="Q40" s="209"/>
      <c r="R40" s="212"/>
      <c r="S40" s="211">
        <f t="shared" si="6"/>
        <v>1.74</v>
      </c>
      <c r="T40" s="209">
        <v>1.74</v>
      </c>
      <c r="U40" s="209"/>
      <c r="V40" s="216"/>
    </row>
    <row r="41" spans="1:22" ht="12.75">
      <c r="A41" s="342">
        <f t="shared" si="7"/>
        <v>33</v>
      </c>
      <c r="B41" s="206" t="s">
        <v>123</v>
      </c>
      <c r="C41" s="207">
        <f t="shared" si="3"/>
        <v>55.925</v>
      </c>
      <c r="D41" s="209">
        <f t="shared" si="3"/>
        <v>55.925</v>
      </c>
      <c r="E41" s="209">
        <f t="shared" si="3"/>
        <v>38.457</v>
      </c>
      <c r="F41" s="210"/>
      <c r="G41" s="211">
        <f t="shared" si="4"/>
        <v>48.325</v>
      </c>
      <c r="H41" s="209">
        <v>48.325</v>
      </c>
      <c r="I41" s="209">
        <v>33.777</v>
      </c>
      <c r="J41" s="216"/>
      <c r="K41" s="207">
        <f t="shared" si="5"/>
        <v>7.3</v>
      </c>
      <c r="L41" s="209">
        <v>7.3</v>
      </c>
      <c r="M41" s="209">
        <v>4.68</v>
      </c>
      <c r="N41" s="214"/>
      <c r="O41" s="211"/>
      <c r="P41" s="209"/>
      <c r="Q41" s="209"/>
      <c r="R41" s="212"/>
      <c r="S41" s="211">
        <f t="shared" si="6"/>
        <v>0.3</v>
      </c>
      <c r="T41" s="209">
        <v>0.3</v>
      </c>
      <c r="U41" s="209"/>
      <c r="V41" s="216"/>
    </row>
    <row r="42" spans="1:22" ht="12.75">
      <c r="A42" s="342">
        <f t="shared" si="7"/>
        <v>34</v>
      </c>
      <c r="B42" s="206" t="s">
        <v>180</v>
      </c>
      <c r="C42" s="207">
        <f t="shared" si="3"/>
        <v>62.736999999999995</v>
      </c>
      <c r="D42" s="209">
        <f t="shared" si="3"/>
        <v>62.736999999999995</v>
      </c>
      <c r="E42" s="209">
        <f t="shared" si="3"/>
        <v>42.525</v>
      </c>
      <c r="F42" s="210"/>
      <c r="G42" s="211">
        <f t="shared" si="4"/>
        <v>51.537</v>
      </c>
      <c r="H42" s="209">
        <v>51.537</v>
      </c>
      <c r="I42" s="209">
        <v>35.985</v>
      </c>
      <c r="J42" s="212"/>
      <c r="K42" s="207">
        <f t="shared" si="5"/>
        <v>10.2</v>
      </c>
      <c r="L42" s="209">
        <v>10.2</v>
      </c>
      <c r="M42" s="209">
        <v>6.54</v>
      </c>
      <c r="N42" s="214"/>
      <c r="O42" s="211"/>
      <c r="P42" s="209"/>
      <c r="Q42" s="209"/>
      <c r="R42" s="212"/>
      <c r="S42" s="211">
        <f t="shared" si="6"/>
        <v>1</v>
      </c>
      <c r="T42" s="209">
        <v>1</v>
      </c>
      <c r="U42" s="209"/>
      <c r="V42" s="216"/>
    </row>
    <row r="43" spans="1:22" ht="13.5" thickBot="1">
      <c r="A43" s="357">
        <f t="shared" si="7"/>
        <v>35</v>
      </c>
      <c r="B43" s="287" t="s">
        <v>125</v>
      </c>
      <c r="C43" s="261">
        <f t="shared" si="3"/>
        <v>86.86200000000001</v>
      </c>
      <c r="D43" s="263">
        <f t="shared" si="3"/>
        <v>86.86200000000001</v>
      </c>
      <c r="E43" s="263">
        <f t="shared" si="3"/>
        <v>59.581</v>
      </c>
      <c r="F43" s="264"/>
      <c r="G43" s="292">
        <f t="shared" si="4"/>
        <v>83.292</v>
      </c>
      <c r="H43" s="290">
        <v>83.292</v>
      </c>
      <c r="I43" s="290">
        <v>56.953</v>
      </c>
      <c r="J43" s="293"/>
      <c r="K43" s="261">
        <f t="shared" si="5"/>
        <v>1.7</v>
      </c>
      <c r="L43" s="263">
        <v>1.7</v>
      </c>
      <c r="M43" s="263">
        <v>1.2</v>
      </c>
      <c r="N43" s="267"/>
      <c r="O43" s="292"/>
      <c r="P43" s="290"/>
      <c r="Q43" s="290"/>
      <c r="R43" s="296"/>
      <c r="S43" s="292">
        <f t="shared" si="6"/>
        <v>1.87</v>
      </c>
      <c r="T43" s="290">
        <v>1.87</v>
      </c>
      <c r="U43" s="290">
        <v>1.428</v>
      </c>
      <c r="V43" s="293"/>
    </row>
    <row r="44" spans="1:22" ht="30.75" thickBot="1">
      <c r="A44" s="322">
        <v>36</v>
      </c>
      <c r="B44" s="323" t="s">
        <v>481</v>
      </c>
      <c r="C44" s="324">
        <f t="shared" si="3"/>
        <v>12965.725000000004</v>
      </c>
      <c r="D44" s="309">
        <f t="shared" si="3"/>
        <v>12961.725000000004</v>
      </c>
      <c r="E44" s="309">
        <f t="shared" si="3"/>
        <v>8293.621000000001</v>
      </c>
      <c r="F44" s="316">
        <f>J44+N44+R44+V44</f>
        <v>4</v>
      </c>
      <c r="G44" s="325">
        <f>G45+SUM(G56:G86)+SUM(G87:G99)-G91</f>
        <v>5923.796000000001</v>
      </c>
      <c r="H44" s="309">
        <f>H45+SUM(H56:H86)+SUM(H87:H99)-H91</f>
        <v>5922.796000000001</v>
      </c>
      <c r="I44" s="309">
        <f>I45+SUM(I56:I86)+SUM(I87:I99)-I91</f>
        <v>3505.403</v>
      </c>
      <c r="J44" s="309">
        <f>J45+SUM(J56:J86)+SUM(J87:J99)</f>
        <v>1</v>
      </c>
      <c r="K44" s="315">
        <f>K45+SUM(K56:K99)</f>
        <v>354.5</v>
      </c>
      <c r="L44" s="309">
        <f>L45+SUM(L56:L99)</f>
        <v>354.5</v>
      </c>
      <c r="M44" s="309">
        <f>M45+SUM(M56:M99)</f>
        <v>206.132</v>
      </c>
      <c r="N44" s="358"/>
      <c r="O44" s="359">
        <f>O45+SUM(O56:O99)</f>
        <v>6120.4000000000015</v>
      </c>
      <c r="P44" s="274">
        <f>P45+SUM(P56:P99)</f>
        <v>6120.4000000000015</v>
      </c>
      <c r="Q44" s="274">
        <f>Q45+SUM(Q56:Q99)</f>
        <v>4552.236</v>
      </c>
      <c r="R44" s="316"/>
      <c r="S44" s="315">
        <f>S45+SUM(S56:S99)</f>
        <v>567.0289999999999</v>
      </c>
      <c r="T44" s="309">
        <f>SUM(T56:T99)</f>
        <v>564.0289999999999</v>
      </c>
      <c r="U44" s="309">
        <f>SUM(U56:U99)</f>
        <v>29.85</v>
      </c>
      <c r="V44" s="316">
        <f>SUM(V56:V99)</f>
        <v>3</v>
      </c>
    </row>
    <row r="45" spans="1:22" ht="12.75">
      <c r="A45" s="327">
        <f>+A44+1</f>
        <v>37</v>
      </c>
      <c r="B45" s="341" t="s">
        <v>482</v>
      </c>
      <c r="C45" s="336">
        <f t="shared" si="3"/>
        <v>720.8249999999999</v>
      </c>
      <c r="D45" s="334">
        <f t="shared" si="3"/>
        <v>720.8249999999999</v>
      </c>
      <c r="E45" s="334">
        <f t="shared" si="3"/>
        <v>247.74300000000002</v>
      </c>
      <c r="F45" s="360"/>
      <c r="G45" s="361">
        <f>H45+J45</f>
        <v>491.74899999999997</v>
      </c>
      <c r="H45" s="362">
        <f>SUM(H46:H55)</f>
        <v>491.74899999999997</v>
      </c>
      <c r="I45" s="362">
        <f>SUM(I46:I54)</f>
        <v>114.977</v>
      </c>
      <c r="J45" s="363"/>
      <c r="K45" s="336">
        <f>+L45</f>
        <v>217.012</v>
      </c>
      <c r="L45" s="334">
        <f>SUM(L46:L55)</f>
        <v>217.012</v>
      </c>
      <c r="M45" s="334">
        <f>SUM(M46:M55)</f>
        <v>123.556</v>
      </c>
      <c r="N45" s="364"/>
      <c r="O45" s="361">
        <f>P45+R45</f>
        <v>12.064</v>
      </c>
      <c r="P45" s="362">
        <f>SUM(P46:P54)</f>
        <v>12.064</v>
      </c>
      <c r="Q45" s="365">
        <f>SUM(Q46:Q54)</f>
        <v>9.21</v>
      </c>
      <c r="R45" s="366"/>
      <c r="S45" s="367"/>
      <c r="T45" s="368"/>
      <c r="U45" s="368"/>
      <c r="V45" s="364"/>
    </row>
    <row r="46" spans="1:22" ht="12.75">
      <c r="A46" s="342">
        <v>38</v>
      </c>
      <c r="B46" s="242" t="s">
        <v>483</v>
      </c>
      <c r="C46" s="196">
        <f>D46+F46</f>
        <v>5.664</v>
      </c>
      <c r="D46" s="345">
        <f>G46+K46+O46+S46</f>
        <v>5.664</v>
      </c>
      <c r="E46" s="345">
        <f>I46+M46+Q46+U46</f>
        <v>4.324</v>
      </c>
      <c r="F46" s="346"/>
      <c r="G46" s="347"/>
      <c r="H46" s="345"/>
      <c r="I46" s="345"/>
      <c r="J46" s="349"/>
      <c r="K46" s="347"/>
      <c r="L46" s="345"/>
      <c r="M46" s="345"/>
      <c r="N46" s="233"/>
      <c r="O46" s="196">
        <f>P46+R46</f>
        <v>5.664</v>
      </c>
      <c r="P46" s="345">
        <v>5.664</v>
      </c>
      <c r="Q46" s="345">
        <v>4.324</v>
      </c>
      <c r="R46" s="349"/>
      <c r="S46" s="351"/>
      <c r="T46" s="345"/>
      <c r="U46" s="345"/>
      <c r="V46" s="369"/>
    </row>
    <row r="47" spans="1:22" ht="25.5">
      <c r="A47" s="342">
        <v>39</v>
      </c>
      <c r="B47" s="355" t="s">
        <v>616</v>
      </c>
      <c r="C47" s="196">
        <f>D47+F47</f>
        <v>156.5</v>
      </c>
      <c r="D47" s="345">
        <f>G47+K47+O47+S47</f>
        <v>156.5</v>
      </c>
      <c r="E47" s="345">
        <f>I47+M47+Q47+U47</f>
        <v>119.484</v>
      </c>
      <c r="F47" s="346"/>
      <c r="G47" s="347"/>
      <c r="H47" s="345"/>
      <c r="I47" s="345"/>
      <c r="J47" s="349"/>
      <c r="K47" s="196">
        <f>+L47</f>
        <v>156.5</v>
      </c>
      <c r="L47" s="345">
        <v>156.5</v>
      </c>
      <c r="M47" s="345">
        <v>119.484</v>
      </c>
      <c r="N47" s="233"/>
      <c r="O47" s="196"/>
      <c r="P47" s="345"/>
      <c r="Q47" s="345"/>
      <c r="R47" s="349"/>
      <c r="S47" s="351"/>
      <c r="T47" s="345"/>
      <c r="U47" s="345"/>
      <c r="V47" s="369"/>
    </row>
    <row r="48" spans="1:22" ht="12.75">
      <c r="A48" s="342">
        <v>40</v>
      </c>
      <c r="B48" s="242" t="s">
        <v>484</v>
      </c>
      <c r="C48" s="196">
        <f t="shared" si="3"/>
        <v>56.176</v>
      </c>
      <c r="D48" s="345">
        <f t="shared" si="3"/>
        <v>56.176</v>
      </c>
      <c r="E48" s="345"/>
      <c r="F48" s="346"/>
      <c r="G48" s="347"/>
      <c r="H48" s="345"/>
      <c r="I48" s="345"/>
      <c r="J48" s="344"/>
      <c r="K48" s="196">
        <f>+L48</f>
        <v>56.176</v>
      </c>
      <c r="L48" s="345">
        <v>56.176</v>
      </c>
      <c r="M48" s="345">
        <v>1.098</v>
      </c>
      <c r="N48" s="344"/>
      <c r="O48" s="196"/>
      <c r="P48" s="345"/>
      <c r="Q48" s="345"/>
      <c r="R48" s="344"/>
      <c r="S48" s="351"/>
      <c r="T48" s="345"/>
      <c r="U48" s="345"/>
      <c r="V48" s="344"/>
    </row>
    <row r="49" spans="1:22" ht="12.75">
      <c r="A49" s="342">
        <v>41</v>
      </c>
      <c r="B49" s="242" t="s">
        <v>485</v>
      </c>
      <c r="C49" s="196">
        <f t="shared" si="3"/>
        <v>2</v>
      </c>
      <c r="D49" s="345">
        <f t="shared" si="3"/>
        <v>2</v>
      </c>
      <c r="E49" s="345"/>
      <c r="F49" s="346"/>
      <c r="G49" s="347">
        <f aca="true" t="shared" si="8" ref="G49:G55">H49+J49</f>
        <v>2</v>
      </c>
      <c r="H49" s="345">
        <v>2</v>
      </c>
      <c r="I49" s="345"/>
      <c r="J49" s="344"/>
      <c r="K49" s="211"/>
      <c r="L49" s="345"/>
      <c r="M49" s="345"/>
      <c r="N49" s="344"/>
      <c r="O49" s="196"/>
      <c r="P49" s="345"/>
      <c r="Q49" s="345"/>
      <c r="R49" s="344"/>
      <c r="S49" s="351"/>
      <c r="T49" s="345"/>
      <c r="U49" s="345"/>
      <c r="V49" s="344"/>
    </row>
    <row r="50" spans="1:22" ht="12.75">
      <c r="A50" s="342">
        <v>42</v>
      </c>
      <c r="B50" s="241" t="s">
        <v>486</v>
      </c>
      <c r="C50" s="196">
        <f t="shared" si="3"/>
        <v>3</v>
      </c>
      <c r="D50" s="345">
        <f t="shared" si="3"/>
        <v>3</v>
      </c>
      <c r="E50" s="345"/>
      <c r="F50" s="346"/>
      <c r="G50" s="347">
        <f t="shared" si="8"/>
        <v>3</v>
      </c>
      <c r="H50" s="345">
        <v>3</v>
      </c>
      <c r="I50" s="345"/>
      <c r="J50" s="344"/>
      <c r="K50" s="347"/>
      <c r="L50" s="345"/>
      <c r="M50" s="345"/>
      <c r="N50" s="344"/>
      <c r="O50" s="196"/>
      <c r="P50" s="345"/>
      <c r="Q50" s="345"/>
      <c r="R50" s="344"/>
      <c r="S50" s="351"/>
      <c r="T50" s="345"/>
      <c r="U50" s="345"/>
      <c r="V50" s="344"/>
    </row>
    <row r="51" spans="1:22" ht="12.75">
      <c r="A51" s="342">
        <f>+A50+1</f>
        <v>43</v>
      </c>
      <c r="B51" s="370" t="s">
        <v>487</v>
      </c>
      <c r="C51" s="196">
        <f t="shared" si="3"/>
        <v>316.9</v>
      </c>
      <c r="D51" s="345">
        <f t="shared" si="3"/>
        <v>316.9</v>
      </c>
      <c r="E51" s="345"/>
      <c r="F51" s="346"/>
      <c r="G51" s="347">
        <f t="shared" si="8"/>
        <v>316.9</v>
      </c>
      <c r="H51" s="345">
        <v>316.9</v>
      </c>
      <c r="I51" s="345"/>
      <c r="J51" s="344"/>
      <c r="K51" s="347"/>
      <c r="L51" s="345"/>
      <c r="M51" s="345"/>
      <c r="N51" s="344"/>
      <c r="O51" s="211"/>
      <c r="P51" s="345"/>
      <c r="Q51" s="345"/>
      <c r="R51" s="344"/>
      <c r="S51" s="351"/>
      <c r="T51" s="345"/>
      <c r="U51" s="345"/>
      <c r="V51" s="344"/>
    </row>
    <row r="52" spans="1:22" ht="12.75">
      <c r="A52" s="342">
        <v>44</v>
      </c>
      <c r="B52" s="242" t="s">
        <v>488</v>
      </c>
      <c r="C52" s="196">
        <f t="shared" si="3"/>
        <v>4.7</v>
      </c>
      <c r="D52" s="345">
        <f t="shared" si="3"/>
        <v>4.7</v>
      </c>
      <c r="E52" s="345"/>
      <c r="F52" s="346"/>
      <c r="G52" s="347">
        <f t="shared" si="8"/>
        <v>4.7</v>
      </c>
      <c r="H52" s="345">
        <v>4.7</v>
      </c>
      <c r="I52" s="345"/>
      <c r="J52" s="344"/>
      <c r="K52" s="347"/>
      <c r="L52" s="345"/>
      <c r="M52" s="345"/>
      <c r="N52" s="344"/>
      <c r="O52" s="211"/>
      <c r="P52" s="345"/>
      <c r="Q52" s="345"/>
      <c r="R52" s="344"/>
      <c r="S52" s="351"/>
      <c r="T52" s="345"/>
      <c r="U52" s="345"/>
      <c r="V52" s="344"/>
    </row>
    <row r="53" spans="1:22" ht="12.75">
      <c r="A53" s="342">
        <v>45</v>
      </c>
      <c r="B53" s="242" t="s">
        <v>489</v>
      </c>
      <c r="C53" s="196">
        <f t="shared" si="3"/>
        <v>148.097</v>
      </c>
      <c r="D53" s="345">
        <f t="shared" si="3"/>
        <v>148.097</v>
      </c>
      <c r="E53" s="203">
        <f>I53+M53+Q53+U53</f>
        <v>111.293</v>
      </c>
      <c r="F53" s="210"/>
      <c r="G53" s="347">
        <f t="shared" si="8"/>
        <v>137.361</v>
      </c>
      <c r="H53" s="345">
        <v>137.361</v>
      </c>
      <c r="I53" s="345">
        <v>103.433</v>
      </c>
      <c r="J53" s="344"/>
      <c r="K53" s="196">
        <f>+L53</f>
        <v>4.336</v>
      </c>
      <c r="L53" s="345">
        <v>4.336</v>
      </c>
      <c r="M53" s="345">
        <v>2.974</v>
      </c>
      <c r="N53" s="344"/>
      <c r="O53" s="196">
        <f>P53+R53</f>
        <v>6.4</v>
      </c>
      <c r="P53" s="345">
        <v>6.4</v>
      </c>
      <c r="Q53" s="345">
        <v>4.886</v>
      </c>
      <c r="R53" s="344"/>
      <c r="S53" s="351"/>
      <c r="T53" s="345"/>
      <c r="U53" s="345"/>
      <c r="V53" s="344"/>
    </row>
    <row r="54" spans="1:22" ht="12.75">
      <c r="A54" s="342">
        <v>46</v>
      </c>
      <c r="B54" s="242" t="s">
        <v>490</v>
      </c>
      <c r="C54" s="196">
        <f t="shared" si="3"/>
        <v>18.588</v>
      </c>
      <c r="D54" s="345">
        <f t="shared" si="3"/>
        <v>18.588</v>
      </c>
      <c r="E54" s="203">
        <f>I54+M54+Q54+U54</f>
        <v>11.544</v>
      </c>
      <c r="F54" s="210"/>
      <c r="G54" s="347">
        <f t="shared" si="8"/>
        <v>18.588</v>
      </c>
      <c r="H54" s="345">
        <v>18.588</v>
      </c>
      <c r="I54" s="345">
        <v>11.544</v>
      </c>
      <c r="J54" s="344"/>
      <c r="K54" s="347"/>
      <c r="L54" s="345"/>
      <c r="M54" s="345"/>
      <c r="N54" s="344"/>
      <c r="O54" s="211"/>
      <c r="P54" s="345"/>
      <c r="Q54" s="345"/>
      <c r="R54" s="344"/>
      <c r="S54" s="351"/>
      <c r="T54" s="345"/>
      <c r="U54" s="345"/>
      <c r="V54" s="344"/>
    </row>
    <row r="55" spans="1:22" ht="25.5">
      <c r="A55" s="342">
        <v>47</v>
      </c>
      <c r="B55" s="355" t="s">
        <v>491</v>
      </c>
      <c r="C55" s="196">
        <f t="shared" si="3"/>
        <v>9.2</v>
      </c>
      <c r="D55" s="345">
        <f t="shared" si="3"/>
        <v>9.2</v>
      </c>
      <c r="E55" s="209"/>
      <c r="F55" s="210"/>
      <c r="G55" s="347">
        <f t="shared" si="8"/>
        <v>9.2</v>
      </c>
      <c r="H55" s="345">
        <v>9.2</v>
      </c>
      <c r="I55" s="345"/>
      <c r="J55" s="344"/>
      <c r="K55" s="347"/>
      <c r="L55" s="345"/>
      <c r="M55" s="345"/>
      <c r="N55" s="344"/>
      <c r="O55" s="211"/>
      <c r="P55" s="345"/>
      <c r="Q55" s="345"/>
      <c r="R55" s="344"/>
      <c r="S55" s="351"/>
      <c r="T55" s="345"/>
      <c r="U55" s="345"/>
      <c r="V55" s="344"/>
    </row>
    <row r="56" spans="1:22" ht="12.75">
      <c r="A56" s="342">
        <v>48</v>
      </c>
      <c r="B56" s="206" t="s">
        <v>181</v>
      </c>
      <c r="C56" s="211">
        <f aca="true" t="shared" si="9" ref="C56:E61">+G56+K56+O56+S56</f>
        <v>327.233</v>
      </c>
      <c r="D56" s="209">
        <f t="shared" si="9"/>
        <v>327.233</v>
      </c>
      <c r="E56" s="209">
        <f t="shared" si="9"/>
        <v>217.731</v>
      </c>
      <c r="F56" s="210"/>
      <c r="G56" s="211">
        <f aca="true" t="shared" si="10" ref="G56:G61">+H56</f>
        <v>204.7</v>
      </c>
      <c r="H56" s="209">
        <v>204.7</v>
      </c>
      <c r="I56" s="218">
        <v>142.674</v>
      </c>
      <c r="J56" s="344"/>
      <c r="K56" s="347"/>
      <c r="L56" s="345"/>
      <c r="M56" s="345"/>
      <c r="N56" s="344"/>
      <c r="O56" s="211">
        <f aca="true" t="shared" si="11" ref="O56:O90">+P56</f>
        <v>102.333</v>
      </c>
      <c r="P56" s="209">
        <v>102.333</v>
      </c>
      <c r="Q56" s="209">
        <v>75.057</v>
      </c>
      <c r="R56" s="212"/>
      <c r="S56" s="207">
        <f aca="true" t="shared" si="12" ref="S56:S81">+T56</f>
        <v>20.2</v>
      </c>
      <c r="T56" s="209">
        <v>20.2</v>
      </c>
      <c r="U56" s="209"/>
      <c r="V56" s="212"/>
    </row>
    <row r="57" spans="1:22" ht="12.75">
      <c r="A57" s="342">
        <f aca="true" t="shared" si="13" ref="A57:A63">+A56+1</f>
        <v>49</v>
      </c>
      <c r="B57" s="206" t="s">
        <v>182</v>
      </c>
      <c r="C57" s="211">
        <f t="shared" si="9"/>
        <v>568.135</v>
      </c>
      <c r="D57" s="209">
        <f t="shared" si="9"/>
        <v>568.135</v>
      </c>
      <c r="E57" s="209">
        <f t="shared" si="9"/>
        <v>364.2</v>
      </c>
      <c r="F57" s="210"/>
      <c r="G57" s="211">
        <f t="shared" si="10"/>
        <v>367.635</v>
      </c>
      <c r="H57" s="209">
        <v>367.635</v>
      </c>
      <c r="I57" s="218">
        <v>248.295</v>
      </c>
      <c r="J57" s="344"/>
      <c r="K57" s="347"/>
      <c r="L57" s="345"/>
      <c r="M57" s="345"/>
      <c r="N57" s="344"/>
      <c r="O57" s="211">
        <f t="shared" si="11"/>
        <v>157.9</v>
      </c>
      <c r="P57" s="209">
        <v>157.9</v>
      </c>
      <c r="Q57" s="209">
        <v>115.905</v>
      </c>
      <c r="R57" s="212"/>
      <c r="S57" s="207">
        <f t="shared" si="12"/>
        <v>42.6</v>
      </c>
      <c r="T57" s="209">
        <v>42.6</v>
      </c>
      <c r="U57" s="209"/>
      <c r="V57" s="212"/>
    </row>
    <row r="58" spans="1:22" ht="12.75">
      <c r="A58" s="342">
        <f t="shared" si="13"/>
        <v>50</v>
      </c>
      <c r="B58" s="206" t="s">
        <v>128</v>
      </c>
      <c r="C58" s="211">
        <f t="shared" si="9"/>
        <v>227.10999999999999</v>
      </c>
      <c r="D58" s="209">
        <f t="shared" si="9"/>
        <v>227.10999999999999</v>
      </c>
      <c r="E58" s="209">
        <f t="shared" si="9"/>
        <v>139.152</v>
      </c>
      <c r="F58" s="210"/>
      <c r="G58" s="211">
        <f t="shared" si="10"/>
        <v>139.953</v>
      </c>
      <c r="H58" s="209">
        <v>139.953</v>
      </c>
      <c r="I58" s="218">
        <v>83.783</v>
      </c>
      <c r="J58" s="344"/>
      <c r="K58" s="347"/>
      <c r="L58" s="345"/>
      <c r="M58" s="345"/>
      <c r="N58" s="344"/>
      <c r="O58" s="211">
        <f t="shared" si="11"/>
        <v>75.283</v>
      </c>
      <c r="P58" s="209">
        <v>75.283</v>
      </c>
      <c r="Q58" s="209">
        <v>55.369</v>
      </c>
      <c r="R58" s="212"/>
      <c r="S58" s="207">
        <f t="shared" si="12"/>
        <v>11.874</v>
      </c>
      <c r="T58" s="209">
        <v>11.874</v>
      </c>
      <c r="U58" s="209"/>
      <c r="V58" s="212"/>
    </row>
    <row r="59" spans="1:22" ht="12.75">
      <c r="A59" s="342">
        <f t="shared" si="13"/>
        <v>51</v>
      </c>
      <c r="B59" s="206" t="s">
        <v>434</v>
      </c>
      <c r="C59" s="211">
        <f t="shared" si="9"/>
        <v>458.60699999999997</v>
      </c>
      <c r="D59" s="209">
        <f t="shared" si="9"/>
        <v>458.60699999999997</v>
      </c>
      <c r="E59" s="209">
        <f t="shared" si="9"/>
        <v>287.93399999999997</v>
      </c>
      <c r="F59" s="210"/>
      <c r="G59" s="211">
        <f t="shared" si="10"/>
        <v>221.805</v>
      </c>
      <c r="H59" s="209">
        <v>221.805</v>
      </c>
      <c r="I59" s="209">
        <v>146.06</v>
      </c>
      <c r="J59" s="344"/>
      <c r="K59" s="347"/>
      <c r="L59" s="345"/>
      <c r="M59" s="345"/>
      <c r="N59" s="344"/>
      <c r="O59" s="211">
        <f t="shared" si="11"/>
        <v>192.802</v>
      </c>
      <c r="P59" s="209">
        <v>192.802</v>
      </c>
      <c r="Q59" s="209">
        <v>141.874</v>
      </c>
      <c r="R59" s="212"/>
      <c r="S59" s="207">
        <f t="shared" si="12"/>
        <v>44</v>
      </c>
      <c r="T59" s="209">
        <v>44</v>
      </c>
      <c r="U59" s="209"/>
      <c r="V59" s="212"/>
    </row>
    <row r="60" spans="1:22" ht="12.75">
      <c r="A60" s="342">
        <f t="shared" si="13"/>
        <v>52</v>
      </c>
      <c r="B60" s="206" t="s">
        <v>435</v>
      </c>
      <c r="C60" s="211">
        <f t="shared" si="9"/>
        <v>178.809</v>
      </c>
      <c r="D60" s="209">
        <f t="shared" si="9"/>
        <v>178.809</v>
      </c>
      <c r="E60" s="209">
        <f t="shared" si="9"/>
        <v>110.839</v>
      </c>
      <c r="F60" s="210"/>
      <c r="G60" s="211">
        <f t="shared" si="10"/>
        <v>117.271</v>
      </c>
      <c r="H60" s="209">
        <v>117.271</v>
      </c>
      <c r="I60" s="209">
        <v>72.712</v>
      </c>
      <c r="J60" s="344"/>
      <c r="K60" s="347"/>
      <c r="L60" s="345"/>
      <c r="M60" s="345"/>
      <c r="N60" s="344"/>
      <c r="O60" s="211">
        <f t="shared" si="11"/>
        <v>51.838</v>
      </c>
      <c r="P60" s="209">
        <v>51.838</v>
      </c>
      <c r="Q60" s="209">
        <v>38.127</v>
      </c>
      <c r="R60" s="212"/>
      <c r="S60" s="207">
        <f t="shared" si="12"/>
        <v>9.7</v>
      </c>
      <c r="T60" s="209">
        <v>9.7</v>
      </c>
      <c r="U60" s="209"/>
      <c r="V60" s="212"/>
    </row>
    <row r="61" spans="1:22" ht="12.75">
      <c r="A61" s="342">
        <f t="shared" si="13"/>
        <v>53</v>
      </c>
      <c r="B61" s="206" t="s">
        <v>436</v>
      </c>
      <c r="C61" s="211">
        <f t="shared" si="9"/>
        <v>204.38400000000001</v>
      </c>
      <c r="D61" s="209">
        <f t="shared" si="9"/>
        <v>204.38400000000001</v>
      </c>
      <c r="E61" s="209">
        <f t="shared" si="9"/>
        <v>145.26299999999998</v>
      </c>
      <c r="F61" s="210"/>
      <c r="G61" s="211">
        <f t="shared" si="10"/>
        <v>93.847</v>
      </c>
      <c r="H61" s="209">
        <v>93.847</v>
      </c>
      <c r="I61" s="209">
        <v>69.074</v>
      </c>
      <c r="J61" s="344"/>
      <c r="K61" s="347"/>
      <c r="L61" s="345"/>
      <c r="M61" s="345"/>
      <c r="N61" s="344"/>
      <c r="O61" s="211">
        <f t="shared" si="11"/>
        <v>102.237</v>
      </c>
      <c r="P61" s="209">
        <v>102.237</v>
      </c>
      <c r="Q61" s="209">
        <v>76.189</v>
      </c>
      <c r="R61" s="212"/>
      <c r="S61" s="207">
        <f t="shared" si="12"/>
        <v>8.3</v>
      </c>
      <c r="T61" s="209">
        <v>8.3</v>
      </c>
      <c r="U61" s="209"/>
      <c r="V61" s="212"/>
    </row>
    <row r="62" spans="1:22" ht="12.75">
      <c r="A62" s="342">
        <f t="shared" si="13"/>
        <v>54</v>
      </c>
      <c r="B62" s="286" t="s">
        <v>437</v>
      </c>
      <c r="C62" s="211">
        <f aca="true" t="shared" si="14" ref="C62:E63">G62+K62+O62+S62</f>
        <v>101.31</v>
      </c>
      <c r="D62" s="209">
        <f t="shared" si="14"/>
        <v>101.31</v>
      </c>
      <c r="E62" s="209">
        <f t="shared" si="14"/>
        <v>74.486</v>
      </c>
      <c r="F62" s="210"/>
      <c r="G62" s="211">
        <f>H62+J62</f>
        <v>10.663</v>
      </c>
      <c r="H62" s="209">
        <v>10.663</v>
      </c>
      <c r="I62" s="209">
        <v>7.512</v>
      </c>
      <c r="J62" s="344"/>
      <c r="K62" s="347"/>
      <c r="L62" s="345"/>
      <c r="M62" s="345"/>
      <c r="N62" s="344"/>
      <c r="O62" s="211">
        <f t="shared" si="11"/>
        <v>90.647</v>
      </c>
      <c r="P62" s="209">
        <v>90.647</v>
      </c>
      <c r="Q62" s="209">
        <v>66.974</v>
      </c>
      <c r="R62" s="212"/>
      <c r="S62" s="207"/>
      <c r="T62" s="209"/>
      <c r="U62" s="209"/>
      <c r="V62" s="212"/>
    </row>
    <row r="63" spans="1:22" ht="12.75">
      <c r="A63" s="342">
        <f t="shared" si="13"/>
        <v>55</v>
      </c>
      <c r="B63" s="281" t="s">
        <v>492</v>
      </c>
      <c r="C63" s="211">
        <f t="shared" si="14"/>
        <v>74.53299999999999</v>
      </c>
      <c r="D63" s="209">
        <f t="shared" si="14"/>
        <v>74.53299999999999</v>
      </c>
      <c r="E63" s="209">
        <f t="shared" si="14"/>
        <v>53.986</v>
      </c>
      <c r="F63" s="210"/>
      <c r="G63" s="211">
        <f>H63+J63</f>
        <v>37.047</v>
      </c>
      <c r="H63" s="209">
        <v>37.047</v>
      </c>
      <c r="I63" s="209">
        <v>26.031</v>
      </c>
      <c r="J63" s="212"/>
      <c r="K63" s="211"/>
      <c r="L63" s="209"/>
      <c r="M63" s="209"/>
      <c r="N63" s="212"/>
      <c r="O63" s="211">
        <f t="shared" si="11"/>
        <v>37.486</v>
      </c>
      <c r="P63" s="209">
        <v>37.486</v>
      </c>
      <c r="Q63" s="209">
        <v>27.955</v>
      </c>
      <c r="R63" s="212"/>
      <c r="S63" s="207"/>
      <c r="T63" s="209"/>
      <c r="U63" s="209"/>
      <c r="V63" s="212"/>
    </row>
    <row r="64" spans="1:22" ht="12.75">
      <c r="A64" s="342">
        <v>56</v>
      </c>
      <c r="B64" s="206" t="s">
        <v>302</v>
      </c>
      <c r="C64" s="211">
        <f aca="true" t="shared" si="15" ref="C64:F74">+G64+K64+O64+S64</f>
        <v>571.534</v>
      </c>
      <c r="D64" s="209">
        <f t="shared" si="15"/>
        <v>571.534</v>
      </c>
      <c r="E64" s="209">
        <f t="shared" si="15"/>
        <v>366.15700000000004</v>
      </c>
      <c r="F64" s="210"/>
      <c r="G64" s="211">
        <f>+H64+J64</f>
        <v>354.248</v>
      </c>
      <c r="H64" s="209">
        <v>354.248</v>
      </c>
      <c r="I64" s="209">
        <v>240.467</v>
      </c>
      <c r="J64" s="212"/>
      <c r="K64" s="347"/>
      <c r="L64" s="345"/>
      <c r="M64" s="345"/>
      <c r="N64" s="344"/>
      <c r="O64" s="211">
        <f t="shared" si="11"/>
        <v>171.436</v>
      </c>
      <c r="P64" s="209">
        <v>171.436</v>
      </c>
      <c r="Q64" s="209">
        <v>125.69</v>
      </c>
      <c r="R64" s="212"/>
      <c r="S64" s="207">
        <f t="shared" si="12"/>
        <v>45.85</v>
      </c>
      <c r="T64" s="209">
        <v>45.85</v>
      </c>
      <c r="U64" s="209"/>
      <c r="V64" s="212"/>
    </row>
    <row r="65" spans="1:22" ht="12.75">
      <c r="A65" s="342">
        <f>+A64+1</f>
        <v>57</v>
      </c>
      <c r="B65" s="206" t="s">
        <v>134</v>
      </c>
      <c r="C65" s="211">
        <f t="shared" si="15"/>
        <v>574.083</v>
      </c>
      <c r="D65" s="209">
        <f t="shared" si="15"/>
        <v>574.083</v>
      </c>
      <c r="E65" s="209">
        <f t="shared" si="15"/>
        <v>397.796</v>
      </c>
      <c r="F65" s="210"/>
      <c r="G65" s="211">
        <f aca="true" t="shared" si="16" ref="G65:G73">+H65</f>
        <v>160.147</v>
      </c>
      <c r="H65" s="209">
        <v>160.147</v>
      </c>
      <c r="I65" s="209">
        <v>102.907</v>
      </c>
      <c r="J65" s="212"/>
      <c r="K65" s="211"/>
      <c r="L65" s="209"/>
      <c r="M65" s="209"/>
      <c r="N65" s="212"/>
      <c r="O65" s="211">
        <f t="shared" si="11"/>
        <v>398.136</v>
      </c>
      <c r="P65" s="209">
        <v>398.136</v>
      </c>
      <c r="Q65" s="209">
        <v>294.889</v>
      </c>
      <c r="R65" s="212"/>
      <c r="S65" s="207">
        <f>+T65+V65</f>
        <v>15.8</v>
      </c>
      <c r="T65" s="209">
        <v>15.8</v>
      </c>
      <c r="U65" s="209"/>
      <c r="V65" s="212"/>
    </row>
    <row r="66" spans="1:22" ht="12.75">
      <c r="A66" s="342">
        <f>+A65+1</f>
        <v>58</v>
      </c>
      <c r="B66" s="206" t="s">
        <v>439</v>
      </c>
      <c r="C66" s="211">
        <f t="shared" si="15"/>
        <v>109.426</v>
      </c>
      <c r="D66" s="209">
        <f t="shared" si="15"/>
        <v>109.426</v>
      </c>
      <c r="E66" s="209">
        <f t="shared" si="15"/>
        <v>75.545</v>
      </c>
      <c r="F66" s="210"/>
      <c r="G66" s="211">
        <f t="shared" si="16"/>
        <v>41.088</v>
      </c>
      <c r="H66" s="209">
        <v>41.088</v>
      </c>
      <c r="I66" s="209">
        <v>29.924</v>
      </c>
      <c r="J66" s="344"/>
      <c r="K66" s="211"/>
      <c r="L66" s="345"/>
      <c r="M66" s="345"/>
      <c r="N66" s="344"/>
      <c r="O66" s="211">
        <f t="shared" si="11"/>
        <v>61.338</v>
      </c>
      <c r="P66" s="209">
        <v>61.338</v>
      </c>
      <c r="Q66" s="209">
        <v>45.621</v>
      </c>
      <c r="R66" s="212"/>
      <c r="S66" s="207">
        <f t="shared" si="12"/>
        <v>7</v>
      </c>
      <c r="T66" s="209">
        <v>7</v>
      </c>
      <c r="U66" s="209"/>
      <c r="V66" s="212"/>
    </row>
    <row r="67" spans="1:22" ht="12.75">
      <c r="A67" s="342">
        <v>59</v>
      </c>
      <c r="B67" s="206" t="s">
        <v>183</v>
      </c>
      <c r="C67" s="211">
        <f t="shared" si="15"/>
        <v>248.353</v>
      </c>
      <c r="D67" s="209">
        <f t="shared" si="15"/>
        <v>248.353</v>
      </c>
      <c r="E67" s="209">
        <f t="shared" si="15"/>
        <v>167.091</v>
      </c>
      <c r="F67" s="210"/>
      <c r="G67" s="211">
        <f t="shared" si="16"/>
        <v>136.232</v>
      </c>
      <c r="H67" s="209">
        <v>136.232</v>
      </c>
      <c r="I67" s="209">
        <v>88.336</v>
      </c>
      <c r="J67" s="344"/>
      <c r="K67" s="347"/>
      <c r="L67" s="345"/>
      <c r="M67" s="345"/>
      <c r="N67" s="344"/>
      <c r="O67" s="211">
        <f t="shared" si="11"/>
        <v>105.221</v>
      </c>
      <c r="P67" s="209">
        <v>105.221</v>
      </c>
      <c r="Q67" s="209">
        <v>78.755</v>
      </c>
      <c r="R67" s="212"/>
      <c r="S67" s="207">
        <f t="shared" si="12"/>
        <v>6.9</v>
      </c>
      <c r="T67" s="209">
        <v>6.9</v>
      </c>
      <c r="U67" s="209"/>
      <c r="V67" s="212"/>
    </row>
    <row r="68" spans="1:22" ht="12.75">
      <c r="A68" s="342">
        <f>+A67+1</f>
        <v>60</v>
      </c>
      <c r="B68" s="206" t="s">
        <v>303</v>
      </c>
      <c r="C68" s="211">
        <f t="shared" si="15"/>
        <v>266.259</v>
      </c>
      <c r="D68" s="209">
        <f t="shared" si="15"/>
        <v>266.259</v>
      </c>
      <c r="E68" s="209">
        <f t="shared" si="15"/>
        <v>194.788</v>
      </c>
      <c r="F68" s="210"/>
      <c r="G68" s="211">
        <f t="shared" si="16"/>
        <v>29.491</v>
      </c>
      <c r="H68" s="209">
        <v>29.491</v>
      </c>
      <c r="I68" s="209">
        <v>19.835</v>
      </c>
      <c r="J68" s="344"/>
      <c r="K68" s="347"/>
      <c r="L68" s="345"/>
      <c r="M68" s="345"/>
      <c r="N68" s="344"/>
      <c r="O68" s="211">
        <f t="shared" si="11"/>
        <v>232.768</v>
      </c>
      <c r="P68" s="209">
        <v>232.768</v>
      </c>
      <c r="Q68" s="209">
        <v>172.953</v>
      </c>
      <c r="R68" s="212"/>
      <c r="S68" s="207">
        <f t="shared" si="12"/>
        <v>4</v>
      </c>
      <c r="T68" s="209">
        <v>4</v>
      </c>
      <c r="U68" s="209">
        <v>2</v>
      </c>
      <c r="V68" s="212"/>
    </row>
    <row r="69" spans="1:22" ht="12.75">
      <c r="A69" s="342">
        <v>61</v>
      </c>
      <c r="B69" s="206" t="s">
        <v>440</v>
      </c>
      <c r="C69" s="211">
        <f t="shared" si="15"/>
        <v>7.896</v>
      </c>
      <c r="D69" s="209">
        <f t="shared" si="15"/>
        <v>7.896</v>
      </c>
      <c r="E69" s="209">
        <f t="shared" si="15"/>
        <v>5.372</v>
      </c>
      <c r="F69" s="210"/>
      <c r="G69" s="211"/>
      <c r="H69" s="209"/>
      <c r="I69" s="209"/>
      <c r="J69" s="344"/>
      <c r="K69" s="211">
        <f>+L69</f>
        <v>0.5</v>
      </c>
      <c r="L69" s="209">
        <v>0.5</v>
      </c>
      <c r="M69" s="345"/>
      <c r="N69" s="344"/>
      <c r="O69" s="211">
        <f t="shared" si="11"/>
        <v>7.396</v>
      </c>
      <c r="P69" s="209">
        <v>7.396</v>
      </c>
      <c r="Q69" s="209">
        <v>5.372</v>
      </c>
      <c r="R69" s="212"/>
      <c r="S69" s="207"/>
      <c r="T69" s="209"/>
      <c r="U69" s="209"/>
      <c r="V69" s="212"/>
    </row>
    <row r="70" spans="1:22" ht="12.75">
      <c r="A70" s="342">
        <v>62</v>
      </c>
      <c r="B70" s="206" t="s">
        <v>441</v>
      </c>
      <c r="C70" s="211">
        <f t="shared" si="15"/>
        <v>357.411</v>
      </c>
      <c r="D70" s="209">
        <f t="shared" si="15"/>
        <v>357.411</v>
      </c>
      <c r="E70" s="209">
        <f t="shared" si="15"/>
        <v>238.961</v>
      </c>
      <c r="F70" s="210"/>
      <c r="G70" s="211">
        <f t="shared" si="16"/>
        <v>160.75</v>
      </c>
      <c r="H70" s="209">
        <v>160.75</v>
      </c>
      <c r="I70" s="209">
        <v>102.455</v>
      </c>
      <c r="J70" s="344"/>
      <c r="K70" s="347"/>
      <c r="L70" s="345"/>
      <c r="M70" s="345"/>
      <c r="N70" s="344"/>
      <c r="O70" s="211">
        <f t="shared" si="11"/>
        <v>181.961</v>
      </c>
      <c r="P70" s="209">
        <v>181.961</v>
      </c>
      <c r="Q70" s="209">
        <v>136.506</v>
      </c>
      <c r="R70" s="212"/>
      <c r="S70" s="207">
        <f t="shared" si="12"/>
        <v>14.7</v>
      </c>
      <c r="T70" s="209">
        <v>14.7</v>
      </c>
      <c r="U70" s="209"/>
      <c r="V70" s="212"/>
    </row>
    <row r="71" spans="1:22" ht="12.75">
      <c r="A71" s="342">
        <v>63</v>
      </c>
      <c r="B71" s="206" t="s">
        <v>141</v>
      </c>
      <c r="C71" s="211">
        <f t="shared" si="15"/>
        <v>1708.5549999999998</v>
      </c>
      <c r="D71" s="209">
        <f t="shared" si="15"/>
        <v>1707.5549999999998</v>
      </c>
      <c r="E71" s="209">
        <f t="shared" si="15"/>
        <v>1121.694</v>
      </c>
      <c r="F71" s="210">
        <f t="shared" si="15"/>
        <v>1</v>
      </c>
      <c r="G71" s="211">
        <f t="shared" si="16"/>
        <v>561.274</v>
      </c>
      <c r="H71" s="209">
        <v>561.274</v>
      </c>
      <c r="I71" s="209">
        <v>322.564</v>
      </c>
      <c r="J71" s="344"/>
      <c r="K71" s="347"/>
      <c r="L71" s="345"/>
      <c r="M71" s="345"/>
      <c r="N71" s="344"/>
      <c r="O71" s="211">
        <f>P71+R71</f>
        <v>1072.281</v>
      </c>
      <c r="P71" s="209">
        <v>1072.281</v>
      </c>
      <c r="Q71" s="209">
        <v>799.13</v>
      </c>
      <c r="R71" s="212"/>
      <c r="S71" s="207">
        <f>+T71+V71</f>
        <v>75</v>
      </c>
      <c r="T71" s="209">
        <v>74</v>
      </c>
      <c r="U71" s="209"/>
      <c r="V71" s="212">
        <v>1</v>
      </c>
    </row>
    <row r="72" spans="1:22" ht="12.75">
      <c r="A72" s="342">
        <v>64</v>
      </c>
      <c r="B72" s="206" t="s">
        <v>493</v>
      </c>
      <c r="C72" s="211">
        <f t="shared" si="15"/>
        <v>94.43</v>
      </c>
      <c r="D72" s="209">
        <f t="shared" si="15"/>
        <v>93.43</v>
      </c>
      <c r="E72" s="209">
        <f t="shared" si="15"/>
        <v>51.949</v>
      </c>
      <c r="F72" s="210">
        <f t="shared" si="15"/>
        <v>1</v>
      </c>
      <c r="G72" s="211">
        <f t="shared" si="16"/>
        <v>84.43</v>
      </c>
      <c r="H72" s="209">
        <v>84.43</v>
      </c>
      <c r="I72" s="209">
        <v>51.949</v>
      </c>
      <c r="J72" s="212"/>
      <c r="K72" s="211"/>
      <c r="L72" s="209"/>
      <c r="M72" s="209"/>
      <c r="N72" s="212"/>
      <c r="O72" s="211"/>
      <c r="P72" s="209"/>
      <c r="Q72" s="209"/>
      <c r="R72" s="212"/>
      <c r="S72" s="207">
        <f>+T72+V72</f>
        <v>10</v>
      </c>
      <c r="T72" s="209">
        <v>9</v>
      </c>
      <c r="U72" s="209"/>
      <c r="V72" s="212">
        <v>1</v>
      </c>
    </row>
    <row r="73" spans="1:22" ht="12.75">
      <c r="A73" s="342">
        <v>65</v>
      </c>
      <c r="B73" s="206" t="s">
        <v>443</v>
      </c>
      <c r="C73" s="211">
        <f t="shared" si="15"/>
        <v>1163.891</v>
      </c>
      <c r="D73" s="209">
        <f t="shared" si="15"/>
        <v>1163.891</v>
      </c>
      <c r="E73" s="209">
        <f t="shared" si="15"/>
        <v>795.4770000000001</v>
      </c>
      <c r="F73" s="210"/>
      <c r="G73" s="211">
        <f t="shared" si="16"/>
        <v>278.958</v>
      </c>
      <c r="H73" s="209">
        <v>278.958</v>
      </c>
      <c r="I73" s="209">
        <v>167.926</v>
      </c>
      <c r="J73" s="344"/>
      <c r="K73" s="347"/>
      <c r="L73" s="345"/>
      <c r="M73" s="345"/>
      <c r="N73" s="344"/>
      <c r="O73" s="211">
        <f>P73+R73</f>
        <v>846.933</v>
      </c>
      <c r="P73" s="209">
        <v>846.933</v>
      </c>
      <c r="Q73" s="209">
        <v>627.551</v>
      </c>
      <c r="R73" s="212"/>
      <c r="S73" s="207">
        <f t="shared" si="12"/>
        <v>38</v>
      </c>
      <c r="T73" s="209">
        <v>38</v>
      </c>
      <c r="U73" s="209"/>
      <c r="V73" s="212"/>
    </row>
    <row r="74" spans="1:22" ht="12.75">
      <c r="A74" s="342">
        <f>+A73+1</f>
        <v>66</v>
      </c>
      <c r="B74" s="206" t="s">
        <v>147</v>
      </c>
      <c r="C74" s="211">
        <f t="shared" si="15"/>
        <v>730.653</v>
      </c>
      <c r="D74" s="209">
        <f t="shared" si="15"/>
        <v>729.653</v>
      </c>
      <c r="E74" s="209">
        <f t="shared" si="15"/>
        <v>477.73299999999995</v>
      </c>
      <c r="F74" s="209">
        <f t="shared" si="15"/>
        <v>1</v>
      </c>
      <c r="G74" s="211">
        <f>+H74+J74</f>
        <v>251.343</v>
      </c>
      <c r="H74" s="209">
        <v>250.343</v>
      </c>
      <c r="I74" s="209">
        <v>131.506</v>
      </c>
      <c r="J74" s="212">
        <v>1</v>
      </c>
      <c r="K74" s="347"/>
      <c r="L74" s="345"/>
      <c r="M74" s="345"/>
      <c r="N74" s="344"/>
      <c r="O74" s="211">
        <f t="shared" si="11"/>
        <v>464.31</v>
      </c>
      <c r="P74" s="209">
        <v>464.31</v>
      </c>
      <c r="Q74" s="209">
        <v>346.227</v>
      </c>
      <c r="R74" s="212"/>
      <c r="S74" s="207">
        <f t="shared" si="12"/>
        <v>15</v>
      </c>
      <c r="T74" s="209">
        <v>15</v>
      </c>
      <c r="U74" s="209"/>
      <c r="V74" s="212"/>
    </row>
    <row r="75" spans="1:22" ht="12.75">
      <c r="A75" s="342">
        <f>+A74+1</f>
        <v>67</v>
      </c>
      <c r="B75" s="286" t="s">
        <v>494</v>
      </c>
      <c r="C75" s="211">
        <f aca="true" t="shared" si="17" ref="C75:E76">G75+K75+O75+S75</f>
        <v>37.183</v>
      </c>
      <c r="D75" s="209">
        <f t="shared" si="17"/>
        <v>37.183</v>
      </c>
      <c r="E75" s="209">
        <f t="shared" si="17"/>
        <v>26.436</v>
      </c>
      <c r="F75" s="210"/>
      <c r="G75" s="211">
        <f>H75+J75</f>
        <v>32.683</v>
      </c>
      <c r="H75" s="209">
        <v>32.683</v>
      </c>
      <c r="I75" s="209">
        <v>24.375</v>
      </c>
      <c r="J75" s="212"/>
      <c r="K75" s="211"/>
      <c r="L75" s="209"/>
      <c r="M75" s="209"/>
      <c r="N75" s="212"/>
      <c r="O75" s="211"/>
      <c r="P75" s="209"/>
      <c r="Q75" s="209"/>
      <c r="R75" s="212"/>
      <c r="S75" s="207">
        <f t="shared" si="12"/>
        <v>4.5</v>
      </c>
      <c r="T75" s="209">
        <v>4.5</v>
      </c>
      <c r="U75" s="209">
        <v>2.061</v>
      </c>
      <c r="V75" s="212"/>
    </row>
    <row r="76" spans="1:22" ht="12.75">
      <c r="A76" s="342">
        <f>+A75+1</f>
        <v>68</v>
      </c>
      <c r="B76" s="206" t="s">
        <v>445</v>
      </c>
      <c r="C76" s="211">
        <f t="shared" si="17"/>
        <v>392.173</v>
      </c>
      <c r="D76" s="209">
        <f t="shared" si="17"/>
        <v>392.173</v>
      </c>
      <c r="E76" s="209">
        <f t="shared" si="17"/>
        <v>258.085</v>
      </c>
      <c r="F76" s="210"/>
      <c r="G76" s="211">
        <f>H76+J76</f>
        <v>163.284</v>
      </c>
      <c r="H76" s="209">
        <v>163.284</v>
      </c>
      <c r="I76" s="209">
        <v>100.26</v>
      </c>
      <c r="J76" s="212"/>
      <c r="K76" s="347"/>
      <c r="L76" s="345"/>
      <c r="M76" s="345"/>
      <c r="N76" s="344"/>
      <c r="O76" s="211">
        <f t="shared" si="11"/>
        <v>210.889</v>
      </c>
      <c r="P76" s="209">
        <v>210.889</v>
      </c>
      <c r="Q76" s="209">
        <v>157.825</v>
      </c>
      <c r="R76" s="212"/>
      <c r="S76" s="207">
        <f t="shared" si="12"/>
        <v>18</v>
      </c>
      <c r="T76" s="209">
        <v>18</v>
      </c>
      <c r="U76" s="209"/>
      <c r="V76" s="212"/>
    </row>
    <row r="77" spans="1:22" ht="12.75">
      <c r="A77" s="342">
        <f>+A76+1</f>
        <v>69</v>
      </c>
      <c r="B77" s="206" t="s">
        <v>153</v>
      </c>
      <c r="C77" s="211">
        <f aca="true" t="shared" si="18" ref="C77:E79">+G77+K77+O77+S77</f>
        <v>600.066</v>
      </c>
      <c r="D77" s="209">
        <f t="shared" si="18"/>
        <v>600.066</v>
      </c>
      <c r="E77" s="209">
        <f t="shared" si="18"/>
        <v>389.717</v>
      </c>
      <c r="F77" s="210"/>
      <c r="G77" s="211">
        <f>+H77</f>
        <v>222.298</v>
      </c>
      <c r="H77" s="209">
        <v>222.298</v>
      </c>
      <c r="I77" s="209">
        <v>117.602</v>
      </c>
      <c r="J77" s="344"/>
      <c r="K77" s="347"/>
      <c r="L77" s="345"/>
      <c r="M77" s="345"/>
      <c r="N77" s="344"/>
      <c r="O77" s="211">
        <f t="shared" si="11"/>
        <v>364.268</v>
      </c>
      <c r="P77" s="209">
        <v>364.268</v>
      </c>
      <c r="Q77" s="209">
        <v>272.115</v>
      </c>
      <c r="R77" s="212"/>
      <c r="S77" s="207">
        <f t="shared" si="12"/>
        <v>13.5</v>
      </c>
      <c r="T77" s="209">
        <v>13.5</v>
      </c>
      <c r="U77" s="209"/>
      <c r="V77" s="212"/>
    </row>
    <row r="78" spans="1:22" ht="12.75">
      <c r="A78" s="342">
        <f>+A77+1</f>
        <v>70</v>
      </c>
      <c r="B78" s="206" t="s">
        <v>495</v>
      </c>
      <c r="C78" s="211">
        <f t="shared" si="18"/>
        <v>151.36199999999997</v>
      </c>
      <c r="D78" s="209">
        <f t="shared" si="18"/>
        <v>151.36199999999997</v>
      </c>
      <c r="E78" s="209">
        <f t="shared" si="18"/>
        <v>86.703</v>
      </c>
      <c r="F78" s="210"/>
      <c r="G78" s="211">
        <f>+H78</f>
        <v>102.448</v>
      </c>
      <c r="H78" s="209">
        <v>102.448</v>
      </c>
      <c r="I78" s="209">
        <v>55.994</v>
      </c>
      <c r="J78" s="212"/>
      <c r="K78" s="211"/>
      <c r="L78" s="209"/>
      <c r="M78" s="209"/>
      <c r="N78" s="212"/>
      <c r="O78" s="211">
        <f t="shared" si="11"/>
        <v>41.714</v>
      </c>
      <c r="P78" s="209">
        <v>41.714</v>
      </c>
      <c r="Q78" s="209">
        <v>30.709</v>
      </c>
      <c r="R78" s="212"/>
      <c r="S78" s="207">
        <f t="shared" si="12"/>
        <v>7.2</v>
      </c>
      <c r="T78" s="209">
        <v>7.2</v>
      </c>
      <c r="U78" s="209"/>
      <c r="V78" s="212"/>
    </row>
    <row r="79" spans="1:22" ht="12.75">
      <c r="A79" s="342">
        <v>71</v>
      </c>
      <c r="B79" s="286" t="s">
        <v>496</v>
      </c>
      <c r="C79" s="211">
        <f>+G79+K79+O79+S79</f>
        <v>38.275</v>
      </c>
      <c r="D79" s="209">
        <f t="shared" si="18"/>
        <v>38.275</v>
      </c>
      <c r="E79" s="209">
        <f t="shared" si="18"/>
        <v>26.437</v>
      </c>
      <c r="F79" s="210"/>
      <c r="G79" s="211">
        <f>+H79</f>
        <v>36.763</v>
      </c>
      <c r="H79" s="209">
        <v>36.763</v>
      </c>
      <c r="I79" s="209">
        <v>25.744</v>
      </c>
      <c r="J79" s="212"/>
      <c r="K79" s="211"/>
      <c r="L79" s="209"/>
      <c r="M79" s="209"/>
      <c r="N79" s="212"/>
      <c r="O79" s="211"/>
      <c r="P79" s="209"/>
      <c r="Q79" s="209"/>
      <c r="R79" s="212"/>
      <c r="S79" s="207">
        <f t="shared" si="12"/>
        <v>1.512</v>
      </c>
      <c r="T79" s="209">
        <v>1.512</v>
      </c>
      <c r="U79" s="209">
        <v>0.693</v>
      </c>
      <c r="V79" s="212"/>
    </row>
    <row r="80" spans="1:22" ht="12.75">
      <c r="A80" s="342">
        <f aca="true" t="shared" si="19" ref="A80:A143">+A79+1</f>
        <v>72</v>
      </c>
      <c r="B80" s="206" t="s">
        <v>160</v>
      </c>
      <c r="C80" s="211">
        <f aca="true" t="shared" si="20" ref="C80:F166">G80+K80+O80+S80</f>
        <v>623.7810000000001</v>
      </c>
      <c r="D80" s="209">
        <f>H80+L80+P80+T80</f>
        <v>623.7810000000001</v>
      </c>
      <c r="E80" s="209">
        <f>I80+M80+Q80+U80</f>
        <v>415.025</v>
      </c>
      <c r="F80" s="210"/>
      <c r="G80" s="211">
        <f>H80+J80</f>
        <v>189.568</v>
      </c>
      <c r="H80" s="209">
        <v>189.568</v>
      </c>
      <c r="I80" s="209">
        <v>106.769</v>
      </c>
      <c r="J80" s="212"/>
      <c r="K80" s="347"/>
      <c r="L80" s="345"/>
      <c r="M80" s="345"/>
      <c r="N80" s="344"/>
      <c r="O80" s="211">
        <f t="shared" si="11"/>
        <v>413.213</v>
      </c>
      <c r="P80" s="209">
        <v>413.213</v>
      </c>
      <c r="Q80" s="209">
        <v>308.256</v>
      </c>
      <c r="R80" s="212"/>
      <c r="S80" s="207">
        <f t="shared" si="12"/>
        <v>21</v>
      </c>
      <c r="T80" s="209">
        <v>21</v>
      </c>
      <c r="U80" s="209"/>
      <c r="V80" s="212"/>
    </row>
    <row r="81" spans="1:22" ht="12.75">
      <c r="A81" s="342">
        <f t="shared" si="19"/>
        <v>73</v>
      </c>
      <c r="B81" s="286" t="s">
        <v>497</v>
      </c>
      <c r="C81" s="211">
        <f t="shared" si="20"/>
        <v>38.628</v>
      </c>
      <c r="D81" s="209">
        <f>H81+L81+P81+T81</f>
        <v>38.628</v>
      </c>
      <c r="E81" s="209">
        <f>I81+M81+Q81+U81</f>
        <v>28.717</v>
      </c>
      <c r="F81" s="210"/>
      <c r="G81" s="211">
        <f>H81+J81</f>
        <v>36.828</v>
      </c>
      <c r="H81" s="209">
        <v>36.828</v>
      </c>
      <c r="I81" s="209">
        <v>27.892</v>
      </c>
      <c r="J81" s="212"/>
      <c r="K81" s="211"/>
      <c r="L81" s="209"/>
      <c r="M81" s="209"/>
      <c r="N81" s="212"/>
      <c r="O81" s="211"/>
      <c r="P81" s="209"/>
      <c r="Q81" s="209"/>
      <c r="R81" s="212"/>
      <c r="S81" s="207">
        <f t="shared" si="12"/>
        <v>1.8</v>
      </c>
      <c r="T81" s="209">
        <v>1.8</v>
      </c>
      <c r="U81" s="209">
        <v>0.825</v>
      </c>
      <c r="V81" s="212"/>
    </row>
    <row r="82" spans="1:22" ht="12.75">
      <c r="A82" s="342">
        <f t="shared" si="19"/>
        <v>74</v>
      </c>
      <c r="B82" s="206" t="s">
        <v>449</v>
      </c>
      <c r="C82" s="211">
        <f aca="true" t="shared" si="21" ref="C82:E89">+G82+K82+O82+S82</f>
        <v>723.491</v>
      </c>
      <c r="D82" s="209">
        <f t="shared" si="21"/>
        <v>723.491</v>
      </c>
      <c r="E82" s="209">
        <f t="shared" si="21"/>
        <v>438.28099999999995</v>
      </c>
      <c r="F82" s="210"/>
      <c r="G82" s="211">
        <f aca="true" t="shared" si="22" ref="G82:G89">+H82</f>
        <v>303.858</v>
      </c>
      <c r="H82" s="209">
        <v>303.858</v>
      </c>
      <c r="I82" s="209">
        <v>148.081</v>
      </c>
      <c r="J82" s="344"/>
      <c r="K82" s="347"/>
      <c r="L82" s="345"/>
      <c r="M82" s="345"/>
      <c r="N82" s="344"/>
      <c r="O82" s="211">
        <f t="shared" si="11"/>
        <v>388.633</v>
      </c>
      <c r="P82" s="209">
        <v>388.633</v>
      </c>
      <c r="Q82" s="209">
        <v>290.2</v>
      </c>
      <c r="R82" s="344"/>
      <c r="S82" s="207">
        <f>+T82</f>
        <v>31</v>
      </c>
      <c r="T82" s="209">
        <v>31</v>
      </c>
      <c r="U82" s="209"/>
      <c r="V82" s="212"/>
    </row>
    <row r="83" spans="1:22" ht="12.75">
      <c r="A83" s="342">
        <f t="shared" si="19"/>
        <v>75</v>
      </c>
      <c r="B83" s="206" t="s">
        <v>206</v>
      </c>
      <c r="C83" s="211">
        <f t="shared" si="21"/>
        <v>310.109</v>
      </c>
      <c r="D83" s="209">
        <f t="shared" si="21"/>
        <v>310.109</v>
      </c>
      <c r="E83" s="209">
        <f t="shared" si="21"/>
        <v>198.293</v>
      </c>
      <c r="F83" s="210"/>
      <c r="G83" s="211">
        <f>+H83+J83</f>
        <v>13.225</v>
      </c>
      <c r="H83" s="209">
        <v>13.225</v>
      </c>
      <c r="I83" s="209"/>
      <c r="J83" s="212"/>
      <c r="K83" s="211">
        <f>L83+N83</f>
        <v>128.2</v>
      </c>
      <c r="L83" s="209">
        <v>128.2</v>
      </c>
      <c r="M83" s="209">
        <v>75.866</v>
      </c>
      <c r="N83" s="212"/>
      <c r="O83" s="211">
        <f t="shared" si="11"/>
        <v>162.484</v>
      </c>
      <c r="P83" s="209">
        <v>162.484</v>
      </c>
      <c r="Q83" s="209">
        <v>122.427</v>
      </c>
      <c r="R83" s="212"/>
      <c r="S83" s="207">
        <f>+T83</f>
        <v>6.2</v>
      </c>
      <c r="T83" s="209">
        <v>6.2</v>
      </c>
      <c r="U83" s="209"/>
      <c r="V83" s="212"/>
    </row>
    <row r="84" spans="1:22" ht="12.75">
      <c r="A84" s="342">
        <v>76</v>
      </c>
      <c r="B84" s="206" t="s">
        <v>450</v>
      </c>
      <c r="C84" s="211">
        <f t="shared" si="21"/>
        <v>396.76300000000003</v>
      </c>
      <c r="D84" s="209">
        <f t="shared" si="21"/>
        <v>396.76300000000003</v>
      </c>
      <c r="E84" s="209">
        <f t="shared" si="21"/>
        <v>286.935</v>
      </c>
      <c r="F84" s="210"/>
      <c r="G84" s="211">
        <f t="shared" si="22"/>
        <v>339.322</v>
      </c>
      <c r="H84" s="209">
        <v>339.322</v>
      </c>
      <c r="I84" s="209">
        <v>252.471</v>
      </c>
      <c r="J84" s="344"/>
      <c r="K84" s="211">
        <f>L84+N84</f>
        <v>2.228</v>
      </c>
      <c r="L84" s="209">
        <v>2.228</v>
      </c>
      <c r="M84" s="209">
        <v>1.701</v>
      </c>
      <c r="N84" s="344"/>
      <c r="O84" s="211">
        <f t="shared" si="11"/>
        <v>26.713</v>
      </c>
      <c r="P84" s="209">
        <v>26.713</v>
      </c>
      <c r="Q84" s="209">
        <v>20.395</v>
      </c>
      <c r="R84" s="212"/>
      <c r="S84" s="207">
        <f>+T84+V84</f>
        <v>28.5</v>
      </c>
      <c r="T84" s="209">
        <v>28.5</v>
      </c>
      <c r="U84" s="209">
        <v>12.368</v>
      </c>
      <c r="V84" s="212"/>
    </row>
    <row r="85" spans="1:22" ht="12.75">
      <c r="A85" s="342">
        <f t="shared" si="19"/>
        <v>77</v>
      </c>
      <c r="B85" s="206" t="s">
        <v>184</v>
      </c>
      <c r="C85" s="211">
        <f t="shared" si="21"/>
        <v>126.22800000000001</v>
      </c>
      <c r="D85" s="209">
        <f t="shared" si="21"/>
        <v>126.22800000000001</v>
      </c>
      <c r="E85" s="209">
        <f t="shared" si="21"/>
        <v>88.90499999999999</v>
      </c>
      <c r="F85" s="210"/>
      <c r="G85" s="211">
        <f t="shared" si="22"/>
        <v>89.661</v>
      </c>
      <c r="H85" s="209">
        <v>89.661</v>
      </c>
      <c r="I85" s="209">
        <v>68.457</v>
      </c>
      <c r="J85" s="344"/>
      <c r="K85" s="211">
        <f>L85+N85</f>
        <v>2.304</v>
      </c>
      <c r="L85" s="209">
        <v>2.304</v>
      </c>
      <c r="M85" s="209">
        <v>1.759</v>
      </c>
      <c r="N85" s="344"/>
      <c r="O85" s="211">
        <f t="shared" si="11"/>
        <v>14.3</v>
      </c>
      <c r="P85" s="209">
        <v>14.3</v>
      </c>
      <c r="Q85" s="209">
        <v>10.918</v>
      </c>
      <c r="R85" s="212"/>
      <c r="S85" s="207">
        <f aca="true" t="shared" si="23" ref="S85:S90">T85+V85</f>
        <v>19.963</v>
      </c>
      <c r="T85" s="209">
        <v>19.963</v>
      </c>
      <c r="U85" s="209">
        <v>7.771</v>
      </c>
      <c r="V85" s="212"/>
    </row>
    <row r="86" spans="1:22" ht="12.75">
      <c r="A86" s="342">
        <f t="shared" si="19"/>
        <v>78</v>
      </c>
      <c r="B86" s="286" t="s">
        <v>171</v>
      </c>
      <c r="C86" s="211">
        <f t="shared" si="21"/>
        <v>75.84100000000001</v>
      </c>
      <c r="D86" s="209">
        <f t="shared" si="21"/>
        <v>75.84100000000001</v>
      </c>
      <c r="E86" s="209">
        <f t="shared" si="21"/>
        <v>44.246</v>
      </c>
      <c r="F86" s="210"/>
      <c r="G86" s="211">
        <f t="shared" si="22"/>
        <v>60.841</v>
      </c>
      <c r="H86" s="209">
        <v>60.841</v>
      </c>
      <c r="I86" s="209">
        <v>44.246</v>
      </c>
      <c r="J86" s="344"/>
      <c r="K86" s="347"/>
      <c r="L86" s="345"/>
      <c r="M86" s="345"/>
      <c r="N86" s="344"/>
      <c r="O86" s="211"/>
      <c r="P86" s="209"/>
      <c r="Q86" s="209"/>
      <c r="R86" s="212"/>
      <c r="S86" s="207">
        <f t="shared" si="23"/>
        <v>15</v>
      </c>
      <c r="T86" s="209">
        <v>15</v>
      </c>
      <c r="U86" s="209"/>
      <c r="V86" s="212"/>
    </row>
    <row r="87" spans="1:22" ht="12.75">
      <c r="A87" s="342">
        <v>79</v>
      </c>
      <c r="B87" s="286" t="s">
        <v>498</v>
      </c>
      <c r="C87" s="211">
        <f t="shared" si="21"/>
        <v>75.574</v>
      </c>
      <c r="D87" s="209">
        <f t="shared" si="21"/>
        <v>75.574</v>
      </c>
      <c r="E87" s="209">
        <f t="shared" si="21"/>
        <v>55.507</v>
      </c>
      <c r="F87" s="210"/>
      <c r="G87" s="211">
        <f t="shared" si="22"/>
        <v>30.407</v>
      </c>
      <c r="H87" s="209">
        <v>30.407</v>
      </c>
      <c r="I87" s="209">
        <v>21.787</v>
      </c>
      <c r="J87" s="344"/>
      <c r="K87" s="347"/>
      <c r="L87" s="345"/>
      <c r="M87" s="345"/>
      <c r="N87" s="344"/>
      <c r="O87" s="211">
        <f t="shared" si="11"/>
        <v>44.167</v>
      </c>
      <c r="P87" s="209">
        <v>44.167</v>
      </c>
      <c r="Q87" s="209">
        <v>33.72</v>
      </c>
      <c r="R87" s="212"/>
      <c r="S87" s="207">
        <f t="shared" si="23"/>
        <v>1</v>
      </c>
      <c r="T87" s="209">
        <v>1</v>
      </c>
      <c r="U87" s="209"/>
      <c r="V87" s="212"/>
    </row>
    <row r="88" spans="1:22" ht="12.75">
      <c r="A88" s="342">
        <f t="shared" si="19"/>
        <v>80</v>
      </c>
      <c r="B88" s="206" t="s">
        <v>451</v>
      </c>
      <c r="C88" s="211">
        <f t="shared" si="21"/>
        <v>206.80700000000002</v>
      </c>
      <c r="D88" s="209">
        <f t="shared" si="21"/>
        <v>206.80700000000002</v>
      </c>
      <c r="E88" s="209">
        <f t="shared" si="21"/>
        <v>135.031</v>
      </c>
      <c r="F88" s="210"/>
      <c r="G88" s="211">
        <f t="shared" si="22"/>
        <v>142.004</v>
      </c>
      <c r="H88" s="209">
        <v>142.004</v>
      </c>
      <c r="I88" s="209">
        <v>93.798</v>
      </c>
      <c r="J88" s="344"/>
      <c r="K88" s="211">
        <f>L88+N88</f>
        <v>2.22</v>
      </c>
      <c r="L88" s="209">
        <v>2.22</v>
      </c>
      <c r="M88" s="209">
        <v>1.695</v>
      </c>
      <c r="N88" s="344"/>
      <c r="O88" s="211">
        <f t="shared" si="11"/>
        <v>51.283</v>
      </c>
      <c r="P88" s="209">
        <v>51.283</v>
      </c>
      <c r="Q88" s="209">
        <v>37.706</v>
      </c>
      <c r="R88" s="212"/>
      <c r="S88" s="207">
        <f t="shared" si="23"/>
        <v>11.3</v>
      </c>
      <c r="T88" s="209">
        <v>11.3</v>
      </c>
      <c r="U88" s="209">
        <v>1.832</v>
      </c>
      <c r="V88" s="212"/>
    </row>
    <row r="89" spans="1:22" ht="12.75">
      <c r="A89" s="342">
        <v>81</v>
      </c>
      <c r="B89" s="206" t="s">
        <v>499</v>
      </c>
      <c r="C89" s="232">
        <f t="shared" si="21"/>
        <v>63.053000000000004</v>
      </c>
      <c r="D89" s="209">
        <f t="shared" si="21"/>
        <v>63.053000000000004</v>
      </c>
      <c r="E89" s="207">
        <f t="shared" si="21"/>
        <v>42.266999999999996</v>
      </c>
      <c r="F89" s="210"/>
      <c r="G89" s="211">
        <f t="shared" si="22"/>
        <v>37.057</v>
      </c>
      <c r="H89" s="209">
        <v>37.057</v>
      </c>
      <c r="I89" s="209">
        <v>25.108</v>
      </c>
      <c r="J89" s="344"/>
      <c r="K89" s="347"/>
      <c r="L89" s="345"/>
      <c r="M89" s="345"/>
      <c r="N89" s="344"/>
      <c r="O89" s="211">
        <f t="shared" si="11"/>
        <v>23.366</v>
      </c>
      <c r="P89" s="209">
        <v>23.366</v>
      </c>
      <c r="Q89" s="209">
        <v>17.159</v>
      </c>
      <c r="R89" s="212"/>
      <c r="S89" s="207">
        <f t="shared" si="23"/>
        <v>2.63</v>
      </c>
      <c r="T89" s="209">
        <v>2.63</v>
      </c>
      <c r="U89" s="209"/>
      <c r="V89" s="212"/>
    </row>
    <row r="90" spans="1:22" ht="12.75">
      <c r="A90" s="342">
        <v>82</v>
      </c>
      <c r="B90" s="286" t="s">
        <v>113</v>
      </c>
      <c r="C90" s="211">
        <f t="shared" si="20"/>
        <v>327.558</v>
      </c>
      <c r="D90" s="209">
        <f t="shared" si="20"/>
        <v>326.558</v>
      </c>
      <c r="E90" s="209">
        <f t="shared" si="20"/>
        <v>203.882</v>
      </c>
      <c r="F90" s="210">
        <f>+J90+N90+R90+V90</f>
        <v>1</v>
      </c>
      <c r="G90" s="211">
        <f aca="true" t="shared" si="24" ref="G90:G173">H90+J90</f>
        <v>295.522</v>
      </c>
      <c r="H90" s="209">
        <f>317.122-21.6</f>
        <v>295.522</v>
      </c>
      <c r="I90" s="209">
        <f>196.975-8.4</f>
        <v>188.575</v>
      </c>
      <c r="J90" s="212"/>
      <c r="K90" s="211">
        <f>L90+N90</f>
        <v>2.036</v>
      </c>
      <c r="L90" s="209">
        <v>2.036</v>
      </c>
      <c r="M90" s="209">
        <v>1.555</v>
      </c>
      <c r="N90" s="344"/>
      <c r="O90" s="211">
        <f t="shared" si="11"/>
        <v>15</v>
      </c>
      <c r="P90" s="209">
        <v>15</v>
      </c>
      <c r="Q90" s="209">
        <v>11.452</v>
      </c>
      <c r="R90" s="212"/>
      <c r="S90" s="207">
        <f t="shared" si="23"/>
        <v>15</v>
      </c>
      <c r="T90" s="209">
        <v>14</v>
      </c>
      <c r="U90" s="209">
        <v>2.3</v>
      </c>
      <c r="V90" s="212">
        <v>1</v>
      </c>
    </row>
    <row r="91" spans="1:22" ht="12.75">
      <c r="A91" s="342">
        <v>83</v>
      </c>
      <c r="B91" s="241" t="s">
        <v>500</v>
      </c>
      <c r="C91" s="196">
        <f t="shared" si="20"/>
        <v>28.442</v>
      </c>
      <c r="D91" s="203">
        <f t="shared" si="20"/>
        <v>28.442</v>
      </c>
      <c r="E91" s="203"/>
      <c r="F91" s="210"/>
      <c r="G91" s="196">
        <f t="shared" si="24"/>
        <v>28.442</v>
      </c>
      <c r="H91" s="203">
        <v>28.442</v>
      </c>
      <c r="I91" s="209"/>
      <c r="J91" s="212"/>
      <c r="K91" s="347"/>
      <c r="L91" s="345"/>
      <c r="M91" s="345"/>
      <c r="N91" s="344"/>
      <c r="O91" s="211"/>
      <c r="P91" s="209"/>
      <c r="Q91" s="209"/>
      <c r="R91" s="212"/>
      <c r="S91" s="207"/>
      <c r="T91" s="209"/>
      <c r="U91" s="209"/>
      <c r="V91" s="212"/>
    </row>
    <row r="92" spans="1:22" ht="12.75">
      <c r="A92" s="342">
        <v>84</v>
      </c>
      <c r="B92" s="206" t="s">
        <v>116</v>
      </c>
      <c r="C92" s="211">
        <f t="shared" si="20"/>
        <v>6.075</v>
      </c>
      <c r="D92" s="209">
        <f t="shared" si="20"/>
        <v>6.075</v>
      </c>
      <c r="E92" s="209">
        <f t="shared" si="20"/>
        <v>2.64</v>
      </c>
      <c r="F92" s="210"/>
      <c r="G92" s="211">
        <f t="shared" si="24"/>
        <v>6.075</v>
      </c>
      <c r="H92" s="209">
        <v>6.075</v>
      </c>
      <c r="I92" s="209">
        <v>2.64</v>
      </c>
      <c r="J92" s="216"/>
      <c r="K92" s="347"/>
      <c r="L92" s="345"/>
      <c r="M92" s="345"/>
      <c r="N92" s="344"/>
      <c r="O92" s="211"/>
      <c r="P92" s="209"/>
      <c r="Q92" s="209"/>
      <c r="R92" s="212"/>
      <c r="S92" s="207"/>
      <c r="T92" s="209"/>
      <c r="U92" s="209"/>
      <c r="V92" s="212"/>
    </row>
    <row r="93" spans="1:22" ht="12.75">
      <c r="A93" s="342">
        <v>85</v>
      </c>
      <c r="B93" s="206" t="s">
        <v>117</v>
      </c>
      <c r="C93" s="211">
        <f t="shared" si="20"/>
        <v>28.01</v>
      </c>
      <c r="D93" s="209">
        <f t="shared" si="20"/>
        <v>28.01</v>
      </c>
      <c r="E93" s="209">
        <f t="shared" si="20"/>
        <v>14.687</v>
      </c>
      <c r="F93" s="210"/>
      <c r="G93" s="211">
        <f t="shared" si="24"/>
        <v>28.01</v>
      </c>
      <c r="H93" s="209">
        <v>28.01</v>
      </c>
      <c r="I93" s="209">
        <v>14.687</v>
      </c>
      <c r="J93" s="216"/>
      <c r="K93" s="347"/>
      <c r="L93" s="345"/>
      <c r="M93" s="345"/>
      <c r="N93" s="344"/>
      <c r="O93" s="211"/>
      <c r="P93" s="209"/>
      <c r="Q93" s="209"/>
      <c r="R93" s="212"/>
      <c r="S93" s="207"/>
      <c r="T93" s="209"/>
      <c r="U93" s="209"/>
      <c r="V93" s="212"/>
    </row>
    <row r="94" spans="1:22" ht="12.75">
      <c r="A94" s="342">
        <v>86</v>
      </c>
      <c r="B94" s="206" t="s">
        <v>118</v>
      </c>
      <c r="C94" s="211">
        <f t="shared" si="20"/>
        <v>9.687</v>
      </c>
      <c r="D94" s="209">
        <f t="shared" si="20"/>
        <v>9.687</v>
      </c>
      <c r="E94" s="209">
        <f t="shared" si="20"/>
        <v>4.788</v>
      </c>
      <c r="F94" s="210"/>
      <c r="G94" s="211">
        <f t="shared" si="24"/>
        <v>9.687</v>
      </c>
      <c r="H94" s="209">
        <v>9.687</v>
      </c>
      <c r="I94" s="209">
        <v>4.788</v>
      </c>
      <c r="J94" s="212"/>
      <c r="K94" s="347"/>
      <c r="L94" s="345"/>
      <c r="M94" s="345"/>
      <c r="N94" s="344"/>
      <c r="O94" s="211"/>
      <c r="P94" s="209"/>
      <c r="Q94" s="209"/>
      <c r="R94" s="212"/>
      <c r="S94" s="351"/>
      <c r="T94" s="203"/>
      <c r="U94" s="203"/>
      <c r="V94" s="216"/>
    </row>
    <row r="95" spans="1:22" ht="12.75">
      <c r="A95" s="342">
        <f t="shared" si="19"/>
        <v>87</v>
      </c>
      <c r="B95" s="206" t="s">
        <v>119</v>
      </c>
      <c r="C95" s="211">
        <f t="shared" si="20"/>
        <v>9.578</v>
      </c>
      <c r="D95" s="209">
        <f t="shared" si="20"/>
        <v>9.578</v>
      </c>
      <c r="E95" s="209">
        <f t="shared" si="20"/>
        <v>5.442</v>
      </c>
      <c r="F95" s="210"/>
      <c r="G95" s="211">
        <f t="shared" si="24"/>
        <v>9.578</v>
      </c>
      <c r="H95" s="209">
        <v>9.578</v>
      </c>
      <c r="I95" s="209">
        <v>5.442</v>
      </c>
      <c r="J95" s="216"/>
      <c r="K95" s="347"/>
      <c r="L95" s="345"/>
      <c r="M95" s="345"/>
      <c r="N95" s="344"/>
      <c r="O95" s="211"/>
      <c r="P95" s="209"/>
      <c r="Q95" s="209"/>
      <c r="R95" s="212"/>
      <c r="S95" s="351"/>
      <c r="T95" s="203"/>
      <c r="U95" s="203"/>
      <c r="V95" s="216"/>
    </row>
    <row r="96" spans="1:22" ht="12.75">
      <c r="A96" s="342">
        <f t="shared" si="19"/>
        <v>88</v>
      </c>
      <c r="B96" s="206" t="s">
        <v>120</v>
      </c>
      <c r="C96" s="211">
        <f t="shared" si="20"/>
        <v>4.558</v>
      </c>
      <c r="D96" s="209">
        <f t="shared" si="20"/>
        <v>4.558</v>
      </c>
      <c r="E96" s="209">
        <f t="shared" si="20"/>
        <v>2.45</v>
      </c>
      <c r="F96" s="210"/>
      <c r="G96" s="211">
        <f t="shared" si="24"/>
        <v>4.558</v>
      </c>
      <c r="H96" s="209">
        <v>4.558</v>
      </c>
      <c r="I96" s="209">
        <v>2.45</v>
      </c>
      <c r="J96" s="216"/>
      <c r="K96" s="347"/>
      <c r="L96" s="345"/>
      <c r="M96" s="345"/>
      <c r="N96" s="344"/>
      <c r="O96" s="211"/>
      <c r="P96" s="209"/>
      <c r="Q96" s="209"/>
      <c r="R96" s="212"/>
      <c r="S96" s="351"/>
      <c r="T96" s="203"/>
      <c r="U96" s="203"/>
      <c r="V96" s="216"/>
    </row>
    <row r="97" spans="1:22" ht="12.75">
      <c r="A97" s="342">
        <f t="shared" si="19"/>
        <v>89</v>
      </c>
      <c r="B97" s="206" t="s">
        <v>121</v>
      </c>
      <c r="C97" s="211">
        <f t="shared" si="20"/>
        <v>10.893</v>
      </c>
      <c r="D97" s="209">
        <f t="shared" si="20"/>
        <v>10.893</v>
      </c>
      <c r="E97" s="209">
        <f t="shared" si="20"/>
        <v>5.25</v>
      </c>
      <c r="F97" s="210"/>
      <c r="G97" s="211">
        <f t="shared" si="24"/>
        <v>10.893</v>
      </c>
      <c r="H97" s="209">
        <v>10.893</v>
      </c>
      <c r="I97" s="209">
        <v>5.25</v>
      </c>
      <c r="J97" s="216"/>
      <c r="K97" s="347"/>
      <c r="L97" s="345"/>
      <c r="M97" s="345"/>
      <c r="N97" s="344"/>
      <c r="O97" s="211"/>
      <c r="P97" s="209"/>
      <c r="Q97" s="209"/>
      <c r="R97" s="212"/>
      <c r="S97" s="351"/>
      <c r="T97" s="203"/>
      <c r="U97" s="203"/>
      <c r="V97" s="216"/>
    </row>
    <row r="98" spans="1:22" ht="12.75">
      <c r="A98" s="342">
        <v>90</v>
      </c>
      <c r="B98" s="206" t="s">
        <v>123</v>
      </c>
      <c r="C98" s="211">
        <f>G98+K98+O98+S98</f>
        <v>2.78</v>
      </c>
      <c r="D98" s="209">
        <f t="shared" si="20"/>
        <v>2.78</v>
      </c>
      <c r="E98" s="209"/>
      <c r="F98" s="210"/>
      <c r="G98" s="211">
        <f>H98+J98</f>
        <v>2.78</v>
      </c>
      <c r="H98" s="209">
        <v>2.78</v>
      </c>
      <c r="I98" s="209"/>
      <c r="J98" s="216"/>
      <c r="K98" s="347"/>
      <c r="L98" s="345"/>
      <c r="M98" s="345"/>
      <c r="N98" s="344"/>
      <c r="O98" s="211"/>
      <c r="P98" s="209"/>
      <c r="Q98" s="209"/>
      <c r="R98" s="212"/>
      <c r="S98" s="351"/>
      <c r="T98" s="203"/>
      <c r="U98" s="203"/>
      <c r="V98" s="216"/>
    </row>
    <row r="99" spans="1:22" ht="13.5" thickBot="1">
      <c r="A99" s="371">
        <f t="shared" si="19"/>
        <v>91</v>
      </c>
      <c r="B99" s="259" t="s">
        <v>180</v>
      </c>
      <c r="C99" s="265">
        <f>G99+K99+O99+S99</f>
        <v>13.815</v>
      </c>
      <c r="D99" s="263">
        <f t="shared" si="20"/>
        <v>13.815</v>
      </c>
      <c r="E99" s="263"/>
      <c r="F99" s="264"/>
      <c r="G99" s="265">
        <f>H99+J99</f>
        <v>13.815</v>
      </c>
      <c r="H99" s="263">
        <v>13.815</v>
      </c>
      <c r="I99" s="263"/>
      <c r="J99" s="270"/>
      <c r="K99" s="372"/>
      <c r="L99" s="373"/>
      <c r="M99" s="373"/>
      <c r="N99" s="374"/>
      <c r="O99" s="292"/>
      <c r="P99" s="290"/>
      <c r="Q99" s="290"/>
      <c r="R99" s="296"/>
      <c r="S99" s="375"/>
      <c r="T99" s="376"/>
      <c r="U99" s="376"/>
      <c r="V99" s="293"/>
    </row>
    <row r="100" spans="1:22" ht="45.75" thickBot="1">
      <c r="A100" s="322">
        <f t="shared" si="19"/>
        <v>92</v>
      </c>
      <c r="B100" s="323" t="s">
        <v>501</v>
      </c>
      <c r="C100" s="377">
        <f>G100+K100+O100+S100</f>
        <v>1959.9879999999998</v>
      </c>
      <c r="D100" s="378">
        <f t="shared" si="20"/>
        <v>1935.588</v>
      </c>
      <c r="E100" s="309">
        <f t="shared" si="20"/>
        <v>1108.0330000000001</v>
      </c>
      <c r="F100" s="316">
        <f t="shared" si="20"/>
        <v>24.4</v>
      </c>
      <c r="G100" s="309">
        <f>G101+G112+G115+G118+G119+SUM(G123:G134)+G136+G139+G140</f>
        <v>1829.128</v>
      </c>
      <c r="H100" s="309">
        <f>H101+H112+H115+H118+H119+SUM(H123:H134)+H136+H139+H140</f>
        <v>1829.128</v>
      </c>
      <c r="I100" s="309">
        <f>I101+I112+I115+SUM(I118:I134)+I136+I139+I140</f>
        <v>1100.8090000000002</v>
      </c>
      <c r="J100" s="309"/>
      <c r="K100" s="379"/>
      <c r="L100" s="380"/>
      <c r="M100" s="380"/>
      <c r="N100" s="358"/>
      <c r="O100" s="379"/>
      <c r="P100" s="380"/>
      <c r="Q100" s="380"/>
      <c r="R100" s="358"/>
      <c r="S100" s="317">
        <f>S101+SUM(S112:S134)+S136+S139+S140</f>
        <v>130.86</v>
      </c>
      <c r="T100" s="378">
        <f>SUM(T112:T140)</f>
        <v>106.46000000000001</v>
      </c>
      <c r="U100" s="309">
        <f>SUM(U112:U139)</f>
        <v>7.223999999999999</v>
      </c>
      <c r="V100" s="316">
        <f>SUM(V112:V139)</f>
        <v>24.4</v>
      </c>
    </row>
    <row r="101" spans="1:22" ht="25.5">
      <c r="A101" s="327">
        <f t="shared" si="19"/>
        <v>93</v>
      </c>
      <c r="B101" s="381" t="s">
        <v>502</v>
      </c>
      <c r="C101" s="339">
        <f t="shared" si="20"/>
        <v>68</v>
      </c>
      <c r="D101" s="334">
        <f t="shared" si="20"/>
        <v>68</v>
      </c>
      <c r="E101" s="334"/>
      <c r="F101" s="338"/>
      <c r="G101" s="382">
        <f>SUM(G102:G111)-G105-G106</f>
        <v>68</v>
      </c>
      <c r="H101" s="362">
        <f>SUM(H102:H111)-H105-H106</f>
        <v>68</v>
      </c>
      <c r="I101" s="362"/>
      <c r="J101" s="363"/>
      <c r="K101" s="383"/>
      <c r="L101" s="368"/>
      <c r="M101" s="368"/>
      <c r="N101" s="364"/>
      <c r="O101" s="383"/>
      <c r="P101" s="368"/>
      <c r="Q101" s="368"/>
      <c r="R101" s="364"/>
      <c r="S101" s="383"/>
      <c r="T101" s="368"/>
      <c r="U101" s="368"/>
      <c r="V101" s="364"/>
    </row>
    <row r="102" spans="1:22" ht="12.75">
      <c r="A102" s="342">
        <f t="shared" si="19"/>
        <v>94</v>
      </c>
      <c r="B102" s="242" t="s">
        <v>503</v>
      </c>
      <c r="C102" s="196">
        <f t="shared" si="20"/>
        <v>14</v>
      </c>
      <c r="D102" s="345">
        <f t="shared" si="20"/>
        <v>14</v>
      </c>
      <c r="E102" s="345"/>
      <c r="F102" s="346"/>
      <c r="G102" s="347">
        <f t="shared" si="24"/>
        <v>14</v>
      </c>
      <c r="H102" s="345">
        <v>14</v>
      </c>
      <c r="I102" s="345"/>
      <c r="J102" s="344"/>
      <c r="K102" s="347"/>
      <c r="L102" s="345"/>
      <c r="M102" s="345"/>
      <c r="N102" s="344"/>
      <c r="O102" s="347"/>
      <c r="P102" s="345"/>
      <c r="Q102" s="345"/>
      <c r="R102" s="344"/>
      <c r="S102" s="347"/>
      <c r="T102" s="345"/>
      <c r="U102" s="345"/>
      <c r="V102" s="344"/>
    </row>
    <row r="103" spans="1:22" ht="12.75">
      <c r="A103" s="342">
        <f t="shared" si="19"/>
        <v>95</v>
      </c>
      <c r="B103" s="242" t="s">
        <v>504</v>
      </c>
      <c r="C103" s="196">
        <f t="shared" si="20"/>
        <v>18</v>
      </c>
      <c r="D103" s="345">
        <f t="shared" si="20"/>
        <v>18</v>
      </c>
      <c r="E103" s="345"/>
      <c r="F103" s="346"/>
      <c r="G103" s="347">
        <f t="shared" si="24"/>
        <v>18</v>
      </c>
      <c r="H103" s="345">
        <v>18</v>
      </c>
      <c r="I103" s="345"/>
      <c r="J103" s="344"/>
      <c r="K103" s="347"/>
      <c r="L103" s="345"/>
      <c r="M103" s="345"/>
      <c r="N103" s="344"/>
      <c r="O103" s="347"/>
      <c r="P103" s="345"/>
      <c r="Q103" s="345"/>
      <c r="R103" s="344"/>
      <c r="S103" s="347"/>
      <c r="T103" s="345"/>
      <c r="U103" s="345"/>
      <c r="V103" s="344"/>
    </row>
    <row r="104" spans="1:22" ht="12.75">
      <c r="A104" s="342">
        <v>96</v>
      </c>
      <c r="B104" s="370" t="s">
        <v>505</v>
      </c>
      <c r="C104" s="196">
        <f t="shared" si="20"/>
        <v>12</v>
      </c>
      <c r="D104" s="345">
        <f t="shared" si="20"/>
        <v>12</v>
      </c>
      <c r="E104" s="345"/>
      <c r="F104" s="346"/>
      <c r="G104" s="347">
        <f t="shared" si="24"/>
        <v>12</v>
      </c>
      <c r="H104" s="345">
        <v>12</v>
      </c>
      <c r="I104" s="345"/>
      <c r="J104" s="344"/>
      <c r="K104" s="347"/>
      <c r="L104" s="345"/>
      <c r="M104" s="345"/>
      <c r="N104" s="344"/>
      <c r="O104" s="347"/>
      <c r="P104" s="345"/>
      <c r="Q104" s="345"/>
      <c r="R104" s="344"/>
      <c r="S104" s="347"/>
      <c r="T104" s="345"/>
      <c r="U104" s="345"/>
      <c r="V104" s="344"/>
    </row>
    <row r="105" spans="1:22" ht="12.75">
      <c r="A105" s="342">
        <f t="shared" si="19"/>
        <v>97</v>
      </c>
      <c r="B105" s="370" t="s">
        <v>506</v>
      </c>
      <c r="C105" s="196">
        <f t="shared" si="20"/>
        <v>4</v>
      </c>
      <c r="D105" s="345">
        <f t="shared" si="20"/>
        <v>4</v>
      </c>
      <c r="E105" s="345"/>
      <c r="F105" s="346"/>
      <c r="G105" s="347">
        <f t="shared" si="24"/>
        <v>4</v>
      </c>
      <c r="H105" s="345">
        <v>4</v>
      </c>
      <c r="I105" s="345"/>
      <c r="J105" s="344"/>
      <c r="K105" s="347"/>
      <c r="L105" s="345"/>
      <c r="M105" s="345"/>
      <c r="N105" s="344"/>
      <c r="O105" s="347"/>
      <c r="P105" s="345"/>
      <c r="Q105" s="345"/>
      <c r="R105" s="344"/>
      <c r="S105" s="347"/>
      <c r="T105" s="345"/>
      <c r="U105" s="345"/>
      <c r="V105" s="344"/>
    </row>
    <row r="106" spans="1:22" ht="12.75">
      <c r="A106" s="342">
        <v>98</v>
      </c>
      <c r="B106" s="370" t="s">
        <v>507</v>
      </c>
      <c r="C106" s="196">
        <f t="shared" si="20"/>
        <v>4</v>
      </c>
      <c r="D106" s="345">
        <f t="shared" si="20"/>
        <v>4</v>
      </c>
      <c r="E106" s="345"/>
      <c r="F106" s="346"/>
      <c r="G106" s="347">
        <f t="shared" si="24"/>
        <v>4</v>
      </c>
      <c r="H106" s="345">
        <v>4</v>
      </c>
      <c r="I106" s="345"/>
      <c r="J106" s="344"/>
      <c r="K106" s="347"/>
      <c r="L106" s="345"/>
      <c r="M106" s="345"/>
      <c r="N106" s="344"/>
      <c r="O106" s="347"/>
      <c r="P106" s="345"/>
      <c r="Q106" s="345"/>
      <c r="R106" s="344"/>
      <c r="S106" s="347"/>
      <c r="T106" s="345"/>
      <c r="U106" s="345"/>
      <c r="V106" s="344"/>
    </row>
    <row r="107" spans="1:22" ht="12.75">
      <c r="A107" s="342">
        <v>99</v>
      </c>
      <c r="B107" s="242" t="s">
        <v>508</v>
      </c>
      <c r="C107" s="196">
        <f t="shared" si="20"/>
        <v>13</v>
      </c>
      <c r="D107" s="345">
        <f t="shared" si="20"/>
        <v>13</v>
      </c>
      <c r="E107" s="345"/>
      <c r="F107" s="346"/>
      <c r="G107" s="347">
        <f t="shared" si="24"/>
        <v>13</v>
      </c>
      <c r="H107" s="345">
        <v>13</v>
      </c>
      <c r="I107" s="345"/>
      <c r="J107" s="344"/>
      <c r="K107" s="347"/>
      <c r="L107" s="345"/>
      <c r="M107" s="345"/>
      <c r="N107" s="344"/>
      <c r="O107" s="347"/>
      <c r="P107" s="345"/>
      <c r="Q107" s="345"/>
      <c r="R107" s="344"/>
      <c r="S107" s="347"/>
      <c r="T107" s="345"/>
      <c r="U107" s="345"/>
      <c r="V107" s="344"/>
    </row>
    <row r="108" spans="1:22" ht="12.75">
      <c r="A108" s="342">
        <v>100</v>
      </c>
      <c r="B108" s="242" t="s">
        <v>509</v>
      </c>
      <c r="C108" s="196">
        <f t="shared" si="20"/>
        <v>1.5</v>
      </c>
      <c r="D108" s="345">
        <f t="shared" si="20"/>
        <v>1.5</v>
      </c>
      <c r="E108" s="345"/>
      <c r="F108" s="346"/>
      <c r="G108" s="347">
        <f t="shared" si="24"/>
        <v>1.5</v>
      </c>
      <c r="H108" s="345">
        <v>1.5</v>
      </c>
      <c r="I108" s="345"/>
      <c r="J108" s="344"/>
      <c r="K108" s="347"/>
      <c r="L108" s="345"/>
      <c r="M108" s="345"/>
      <c r="N108" s="344"/>
      <c r="O108" s="347"/>
      <c r="P108" s="345"/>
      <c r="Q108" s="345"/>
      <c r="R108" s="344"/>
      <c r="S108" s="347"/>
      <c r="T108" s="345"/>
      <c r="U108" s="345"/>
      <c r="V108" s="344"/>
    </row>
    <row r="109" spans="1:22" ht="25.5" customHeight="1">
      <c r="A109" s="342">
        <v>101</v>
      </c>
      <c r="B109" s="407" t="s">
        <v>610</v>
      </c>
      <c r="C109" s="196">
        <f t="shared" si="20"/>
        <v>3</v>
      </c>
      <c r="D109" s="345">
        <f t="shared" si="20"/>
        <v>3</v>
      </c>
      <c r="E109" s="345"/>
      <c r="F109" s="346"/>
      <c r="G109" s="347">
        <f t="shared" si="24"/>
        <v>3</v>
      </c>
      <c r="H109" s="345">
        <v>3</v>
      </c>
      <c r="I109" s="345"/>
      <c r="J109" s="344"/>
      <c r="K109" s="347"/>
      <c r="L109" s="345"/>
      <c r="M109" s="345"/>
      <c r="N109" s="344"/>
      <c r="O109" s="347"/>
      <c r="P109" s="345"/>
      <c r="Q109" s="345"/>
      <c r="R109" s="344"/>
      <c r="S109" s="347"/>
      <c r="T109" s="345"/>
      <c r="U109" s="345"/>
      <c r="V109" s="344"/>
    </row>
    <row r="110" spans="1:22" ht="12.75">
      <c r="A110" s="342">
        <v>102</v>
      </c>
      <c r="B110" s="242" t="s">
        <v>510</v>
      </c>
      <c r="C110" s="196">
        <f t="shared" si="20"/>
        <v>5</v>
      </c>
      <c r="D110" s="345">
        <f t="shared" si="20"/>
        <v>5</v>
      </c>
      <c r="E110" s="345"/>
      <c r="F110" s="346"/>
      <c r="G110" s="347">
        <f t="shared" si="24"/>
        <v>5</v>
      </c>
      <c r="H110" s="345">
        <v>5</v>
      </c>
      <c r="I110" s="345"/>
      <c r="J110" s="344"/>
      <c r="K110" s="347"/>
      <c r="L110" s="345"/>
      <c r="M110" s="345"/>
      <c r="N110" s="344"/>
      <c r="O110" s="347"/>
      <c r="P110" s="345"/>
      <c r="Q110" s="345"/>
      <c r="R110" s="344"/>
      <c r="S110" s="347"/>
      <c r="T110" s="345"/>
      <c r="U110" s="345"/>
      <c r="V110" s="344"/>
    </row>
    <row r="111" spans="1:22" ht="12.75">
      <c r="A111" s="342">
        <v>103</v>
      </c>
      <c r="B111" s="242" t="s">
        <v>511</v>
      </c>
      <c r="C111" s="196">
        <f t="shared" si="20"/>
        <v>1.5</v>
      </c>
      <c r="D111" s="345">
        <f t="shared" si="20"/>
        <v>1.5</v>
      </c>
      <c r="E111" s="345"/>
      <c r="F111" s="346"/>
      <c r="G111" s="347">
        <f t="shared" si="24"/>
        <v>1.5</v>
      </c>
      <c r="H111" s="345">
        <v>1.5</v>
      </c>
      <c r="I111" s="345"/>
      <c r="J111" s="344"/>
      <c r="K111" s="347"/>
      <c r="L111" s="345"/>
      <c r="M111" s="345"/>
      <c r="N111" s="344"/>
      <c r="O111" s="347"/>
      <c r="P111" s="345"/>
      <c r="Q111" s="345"/>
      <c r="R111" s="344"/>
      <c r="S111" s="347"/>
      <c r="T111" s="345"/>
      <c r="U111" s="345"/>
      <c r="V111" s="344"/>
    </row>
    <row r="112" spans="1:22" ht="12.75">
      <c r="A112" s="342">
        <v>104</v>
      </c>
      <c r="B112" s="206" t="s">
        <v>111</v>
      </c>
      <c r="C112" s="240">
        <f t="shared" si="20"/>
        <v>319.339</v>
      </c>
      <c r="D112" s="384">
        <f t="shared" si="20"/>
        <v>309.339</v>
      </c>
      <c r="E112" s="209">
        <f t="shared" si="20"/>
        <v>181.502</v>
      </c>
      <c r="F112" s="210">
        <f t="shared" si="20"/>
        <v>10</v>
      </c>
      <c r="G112" s="211">
        <f t="shared" si="24"/>
        <v>273.539</v>
      </c>
      <c r="H112" s="209">
        <v>273.539</v>
      </c>
      <c r="I112" s="209">
        <v>175.502</v>
      </c>
      <c r="J112" s="212"/>
      <c r="K112" s="347"/>
      <c r="L112" s="345"/>
      <c r="M112" s="345"/>
      <c r="N112" s="344"/>
      <c r="O112" s="347"/>
      <c r="P112" s="345"/>
      <c r="Q112" s="345"/>
      <c r="R112" s="344"/>
      <c r="S112" s="240">
        <f>T112+V112</f>
        <v>45.8</v>
      </c>
      <c r="T112" s="384">
        <v>35.8</v>
      </c>
      <c r="U112" s="209">
        <v>6</v>
      </c>
      <c r="V112" s="212">
        <v>10</v>
      </c>
    </row>
    <row r="113" spans="1:22" ht="12.75">
      <c r="A113" s="342">
        <v>105</v>
      </c>
      <c r="B113" s="242" t="s">
        <v>512</v>
      </c>
      <c r="C113" s="385">
        <f t="shared" si="20"/>
        <v>3</v>
      </c>
      <c r="D113" s="386">
        <f t="shared" si="20"/>
        <v>3</v>
      </c>
      <c r="E113" s="203"/>
      <c r="F113" s="214"/>
      <c r="G113" s="196">
        <f t="shared" si="24"/>
        <v>3</v>
      </c>
      <c r="H113" s="203">
        <v>3</v>
      </c>
      <c r="I113" s="209"/>
      <c r="J113" s="212"/>
      <c r="K113" s="347"/>
      <c r="L113" s="345"/>
      <c r="M113" s="345"/>
      <c r="N113" s="344"/>
      <c r="O113" s="347"/>
      <c r="P113" s="345"/>
      <c r="Q113" s="345"/>
      <c r="R113" s="344"/>
      <c r="S113" s="240"/>
      <c r="T113" s="384"/>
      <c r="U113" s="209"/>
      <c r="V113" s="212"/>
    </row>
    <row r="114" spans="1:22" ht="12.75">
      <c r="A114" s="342">
        <v>106</v>
      </c>
      <c r="B114" s="242" t="s">
        <v>513</v>
      </c>
      <c r="C114" s="385">
        <f t="shared" si="20"/>
        <v>10</v>
      </c>
      <c r="D114" s="386">
        <f t="shared" si="20"/>
        <v>10</v>
      </c>
      <c r="E114" s="203"/>
      <c r="F114" s="214"/>
      <c r="G114" s="196">
        <f t="shared" si="24"/>
        <v>10</v>
      </c>
      <c r="H114" s="203">
        <v>10</v>
      </c>
      <c r="I114" s="209"/>
      <c r="J114" s="212"/>
      <c r="K114" s="347"/>
      <c r="L114" s="345"/>
      <c r="M114" s="345"/>
      <c r="N114" s="344"/>
      <c r="O114" s="347"/>
      <c r="P114" s="345"/>
      <c r="Q114" s="345"/>
      <c r="R114" s="344"/>
      <c r="S114" s="240"/>
      <c r="T114" s="384"/>
      <c r="U114" s="209"/>
      <c r="V114" s="212"/>
    </row>
    <row r="115" spans="1:22" ht="12.75">
      <c r="A115" s="342">
        <v>107</v>
      </c>
      <c r="B115" s="206" t="s">
        <v>112</v>
      </c>
      <c r="C115" s="240">
        <f t="shared" si="20"/>
        <v>428.135</v>
      </c>
      <c r="D115" s="384">
        <f t="shared" si="20"/>
        <v>413.735</v>
      </c>
      <c r="E115" s="209">
        <f t="shared" si="20"/>
        <v>241.766</v>
      </c>
      <c r="F115" s="210">
        <f t="shared" si="20"/>
        <v>14.4</v>
      </c>
      <c r="G115" s="211">
        <f t="shared" si="24"/>
        <v>370.135</v>
      </c>
      <c r="H115" s="209">
        <v>370.135</v>
      </c>
      <c r="I115" s="209">
        <v>241.766</v>
      </c>
      <c r="J115" s="344"/>
      <c r="K115" s="347"/>
      <c r="L115" s="345"/>
      <c r="M115" s="345"/>
      <c r="N115" s="344"/>
      <c r="O115" s="347"/>
      <c r="P115" s="345"/>
      <c r="Q115" s="345"/>
      <c r="R115" s="344"/>
      <c r="S115" s="240">
        <f>T115+V115</f>
        <v>58</v>
      </c>
      <c r="T115" s="384">
        <v>43.6</v>
      </c>
      <c r="U115" s="209"/>
      <c r="V115" s="212">
        <v>14.4</v>
      </c>
    </row>
    <row r="116" spans="1:22" ht="12.75">
      <c r="A116" s="342">
        <v>108</v>
      </c>
      <c r="B116" s="387" t="s">
        <v>424</v>
      </c>
      <c r="C116" s="196">
        <f t="shared" si="20"/>
        <v>3</v>
      </c>
      <c r="D116" s="203">
        <f t="shared" si="20"/>
        <v>3</v>
      </c>
      <c r="E116" s="203"/>
      <c r="F116" s="214"/>
      <c r="G116" s="196">
        <f t="shared" si="24"/>
        <v>3</v>
      </c>
      <c r="H116" s="203">
        <v>3</v>
      </c>
      <c r="I116" s="209"/>
      <c r="J116" s="344"/>
      <c r="K116" s="347"/>
      <c r="L116" s="345"/>
      <c r="M116" s="345"/>
      <c r="N116" s="344"/>
      <c r="O116" s="347"/>
      <c r="P116" s="345"/>
      <c r="Q116" s="345"/>
      <c r="R116" s="344"/>
      <c r="S116" s="211"/>
      <c r="T116" s="209"/>
      <c r="U116" s="209"/>
      <c r="V116" s="212"/>
    </row>
    <row r="117" spans="1:22" ht="12.75">
      <c r="A117" s="342">
        <v>109</v>
      </c>
      <c r="B117" s="387" t="s">
        <v>425</v>
      </c>
      <c r="C117" s="196">
        <f t="shared" si="20"/>
        <v>1.2</v>
      </c>
      <c r="D117" s="203">
        <f t="shared" si="20"/>
        <v>1.2</v>
      </c>
      <c r="E117" s="203"/>
      <c r="F117" s="214"/>
      <c r="G117" s="196">
        <f t="shared" si="24"/>
        <v>1.2</v>
      </c>
      <c r="H117" s="203">
        <v>1.2</v>
      </c>
      <c r="I117" s="209"/>
      <c r="J117" s="344"/>
      <c r="K117" s="347"/>
      <c r="L117" s="345"/>
      <c r="M117" s="345"/>
      <c r="N117" s="344"/>
      <c r="O117" s="347"/>
      <c r="P117" s="345"/>
      <c r="Q117" s="345"/>
      <c r="R117" s="344"/>
      <c r="S117" s="211"/>
      <c r="T117" s="209"/>
      <c r="U117" s="209"/>
      <c r="V117" s="212"/>
    </row>
    <row r="118" spans="1:22" ht="12.75">
      <c r="A118" s="342">
        <v>110</v>
      </c>
      <c r="B118" s="206" t="s">
        <v>514</v>
      </c>
      <c r="C118" s="211">
        <f t="shared" si="20"/>
        <v>603.532</v>
      </c>
      <c r="D118" s="209">
        <f t="shared" si="20"/>
        <v>603.532</v>
      </c>
      <c r="E118" s="209">
        <f t="shared" si="20"/>
        <v>414.036</v>
      </c>
      <c r="F118" s="210"/>
      <c r="G118" s="211">
        <f t="shared" si="24"/>
        <v>600.532</v>
      </c>
      <c r="H118" s="209">
        <v>600.532</v>
      </c>
      <c r="I118" s="209">
        <v>414.036</v>
      </c>
      <c r="J118" s="212"/>
      <c r="K118" s="347"/>
      <c r="L118" s="345"/>
      <c r="M118" s="345"/>
      <c r="N118" s="344"/>
      <c r="O118" s="347"/>
      <c r="P118" s="345"/>
      <c r="Q118" s="345"/>
      <c r="R118" s="344"/>
      <c r="S118" s="211">
        <f>T118+V118</f>
        <v>3</v>
      </c>
      <c r="T118" s="209">
        <v>3</v>
      </c>
      <c r="U118" s="209"/>
      <c r="V118" s="212"/>
    </row>
    <row r="119" spans="1:22" ht="12.75">
      <c r="A119" s="342">
        <v>111</v>
      </c>
      <c r="B119" s="286" t="s">
        <v>113</v>
      </c>
      <c r="C119" s="211">
        <f t="shared" si="20"/>
        <v>27</v>
      </c>
      <c r="D119" s="209">
        <f t="shared" si="20"/>
        <v>27</v>
      </c>
      <c r="E119" s="209"/>
      <c r="F119" s="210"/>
      <c r="G119" s="211">
        <f t="shared" si="24"/>
        <v>27</v>
      </c>
      <c r="H119" s="209">
        <v>27</v>
      </c>
      <c r="I119" s="209"/>
      <c r="J119" s="212"/>
      <c r="K119" s="347"/>
      <c r="L119" s="345"/>
      <c r="M119" s="345"/>
      <c r="N119" s="344"/>
      <c r="O119" s="347"/>
      <c r="P119" s="345"/>
      <c r="Q119" s="345"/>
      <c r="R119" s="344"/>
      <c r="S119" s="211"/>
      <c r="T119" s="209"/>
      <c r="U119" s="209"/>
      <c r="V119" s="212"/>
    </row>
    <row r="120" spans="1:22" ht="12.75">
      <c r="A120" s="342">
        <v>112</v>
      </c>
      <c r="B120" s="388" t="s">
        <v>515</v>
      </c>
      <c r="C120" s="196">
        <f t="shared" si="20"/>
        <v>2</v>
      </c>
      <c r="D120" s="203">
        <f t="shared" si="20"/>
        <v>2</v>
      </c>
      <c r="E120" s="203"/>
      <c r="F120" s="214"/>
      <c r="G120" s="196">
        <f t="shared" si="24"/>
        <v>2</v>
      </c>
      <c r="H120" s="203">
        <v>2</v>
      </c>
      <c r="I120" s="209"/>
      <c r="J120" s="212"/>
      <c r="K120" s="347"/>
      <c r="L120" s="345"/>
      <c r="M120" s="345"/>
      <c r="N120" s="344"/>
      <c r="O120" s="347"/>
      <c r="P120" s="345"/>
      <c r="Q120" s="345"/>
      <c r="R120" s="344"/>
      <c r="S120" s="211"/>
      <c r="T120" s="209"/>
      <c r="U120" s="209"/>
      <c r="V120" s="212"/>
    </row>
    <row r="121" spans="1:22" ht="12.75">
      <c r="A121" s="342">
        <v>113</v>
      </c>
      <c r="B121" s="388" t="s">
        <v>429</v>
      </c>
      <c r="C121" s="196">
        <f t="shared" si="20"/>
        <v>3</v>
      </c>
      <c r="D121" s="203">
        <f t="shared" si="20"/>
        <v>3</v>
      </c>
      <c r="E121" s="203"/>
      <c r="F121" s="214"/>
      <c r="G121" s="196">
        <f t="shared" si="24"/>
        <v>3</v>
      </c>
      <c r="H121" s="203">
        <v>3</v>
      </c>
      <c r="I121" s="209"/>
      <c r="J121" s="212"/>
      <c r="K121" s="347"/>
      <c r="L121" s="345"/>
      <c r="M121" s="345"/>
      <c r="N121" s="344"/>
      <c r="O121" s="347"/>
      <c r="P121" s="345"/>
      <c r="Q121" s="345"/>
      <c r="R121" s="344"/>
      <c r="S121" s="211"/>
      <c r="T121" s="209"/>
      <c r="U121" s="209"/>
      <c r="V121" s="212"/>
    </row>
    <row r="122" spans="1:22" ht="25.5">
      <c r="A122" s="342">
        <v>114</v>
      </c>
      <c r="B122" s="389" t="s">
        <v>430</v>
      </c>
      <c r="C122" s="196">
        <f t="shared" si="20"/>
        <v>10</v>
      </c>
      <c r="D122" s="203">
        <f t="shared" si="20"/>
        <v>10</v>
      </c>
      <c r="E122" s="203"/>
      <c r="F122" s="214"/>
      <c r="G122" s="196">
        <f t="shared" si="24"/>
        <v>10</v>
      </c>
      <c r="H122" s="203">
        <v>10</v>
      </c>
      <c r="I122" s="209"/>
      <c r="J122" s="212"/>
      <c r="K122" s="347"/>
      <c r="L122" s="345"/>
      <c r="M122" s="345"/>
      <c r="N122" s="344"/>
      <c r="O122" s="347"/>
      <c r="P122" s="345"/>
      <c r="Q122" s="345"/>
      <c r="R122" s="344"/>
      <c r="S122" s="211"/>
      <c r="T122" s="209"/>
      <c r="U122" s="209"/>
      <c r="V122" s="212"/>
    </row>
    <row r="123" spans="1:22" ht="25.5">
      <c r="A123" s="342">
        <v>115</v>
      </c>
      <c r="B123" s="230" t="s">
        <v>196</v>
      </c>
      <c r="C123" s="211">
        <f t="shared" si="20"/>
        <v>48.898</v>
      </c>
      <c r="D123" s="209">
        <f t="shared" si="20"/>
        <v>48.898</v>
      </c>
      <c r="E123" s="209">
        <f t="shared" si="20"/>
        <v>24.540000000000003</v>
      </c>
      <c r="F123" s="210"/>
      <c r="G123" s="211">
        <f t="shared" si="24"/>
        <v>34.798</v>
      </c>
      <c r="H123" s="209">
        <v>34.798</v>
      </c>
      <c r="I123" s="209">
        <v>24.036</v>
      </c>
      <c r="J123" s="212"/>
      <c r="K123" s="347"/>
      <c r="L123" s="345"/>
      <c r="M123" s="345"/>
      <c r="N123" s="344"/>
      <c r="O123" s="347"/>
      <c r="P123" s="345"/>
      <c r="Q123" s="345"/>
      <c r="R123" s="344"/>
      <c r="S123" s="211">
        <f>T123+V123</f>
        <v>14.1</v>
      </c>
      <c r="T123" s="209">
        <v>14.1</v>
      </c>
      <c r="U123" s="209">
        <v>0.504</v>
      </c>
      <c r="V123" s="212"/>
    </row>
    <row r="124" spans="1:22" ht="12.75">
      <c r="A124" s="342">
        <v>116</v>
      </c>
      <c r="B124" s="206" t="s">
        <v>116</v>
      </c>
      <c r="C124" s="211">
        <f t="shared" si="20"/>
        <v>47.737</v>
      </c>
      <c r="D124" s="209">
        <f t="shared" si="20"/>
        <v>47.737</v>
      </c>
      <c r="E124" s="209">
        <f t="shared" si="20"/>
        <v>21.078</v>
      </c>
      <c r="F124" s="210"/>
      <c r="G124" s="211">
        <f t="shared" si="24"/>
        <v>47.537</v>
      </c>
      <c r="H124" s="209">
        <v>47.537</v>
      </c>
      <c r="I124" s="209">
        <v>21.078</v>
      </c>
      <c r="J124" s="216"/>
      <c r="K124" s="347"/>
      <c r="L124" s="345"/>
      <c r="M124" s="345"/>
      <c r="N124" s="344"/>
      <c r="O124" s="347"/>
      <c r="P124" s="345"/>
      <c r="Q124" s="345"/>
      <c r="R124" s="344"/>
      <c r="S124" s="211">
        <f aca="true" t="shared" si="25" ref="S124:S132">T124+V124</f>
        <v>0.2</v>
      </c>
      <c r="T124" s="209">
        <v>0.2</v>
      </c>
      <c r="U124" s="203"/>
      <c r="V124" s="216"/>
    </row>
    <row r="125" spans="1:22" ht="12.75">
      <c r="A125" s="342">
        <f t="shared" si="19"/>
        <v>117</v>
      </c>
      <c r="B125" s="206" t="s">
        <v>117</v>
      </c>
      <c r="C125" s="211">
        <f t="shared" si="20"/>
        <v>30.681</v>
      </c>
      <c r="D125" s="209">
        <f t="shared" si="20"/>
        <v>30.681</v>
      </c>
      <c r="E125" s="209">
        <f t="shared" si="20"/>
        <v>19.433</v>
      </c>
      <c r="F125" s="210"/>
      <c r="G125" s="211">
        <f t="shared" si="24"/>
        <v>30.481</v>
      </c>
      <c r="H125" s="209">
        <v>30.481</v>
      </c>
      <c r="I125" s="209">
        <v>19.433</v>
      </c>
      <c r="J125" s="216"/>
      <c r="K125" s="347"/>
      <c r="L125" s="345"/>
      <c r="M125" s="345"/>
      <c r="N125" s="344"/>
      <c r="O125" s="347"/>
      <c r="P125" s="345"/>
      <c r="Q125" s="345"/>
      <c r="R125" s="344"/>
      <c r="S125" s="211">
        <f t="shared" si="25"/>
        <v>0.2</v>
      </c>
      <c r="T125" s="209">
        <v>0.2</v>
      </c>
      <c r="U125" s="203"/>
      <c r="V125" s="216"/>
    </row>
    <row r="126" spans="1:22" ht="12.75">
      <c r="A126" s="342">
        <f t="shared" si="19"/>
        <v>118</v>
      </c>
      <c r="B126" s="206" t="s">
        <v>118</v>
      </c>
      <c r="C126" s="211">
        <f t="shared" si="20"/>
        <v>59.961</v>
      </c>
      <c r="D126" s="209">
        <f t="shared" si="20"/>
        <v>59.961</v>
      </c>
      <c r="E126" s="209">
        <f t="shared" si="20"/>
        <v>35.213</v>
      </c>
      <c r="F126" s="210"/>
      <c r="G126" s="211">
        <f t="shared" si="24"/>
        <v>58.961</v>
      </c>
      <c r="H126" s="209">
        <v>58.961</v>
      </c>
      <c r="I126" s="209">
        <v>35.213</v>
      </c>
      <c r="J126" s="212"/>
      <c r="K126" s="347"/>
      <c r="L126" s="345"/>
      <c r="M126" s="345"/>
      <c r="N126" s="344"/>
      <c r="O126" s="347"/>
      <c r="P126" s="345"/>
      <c r="Q126" s="345"/>
      <c r="R126" s="344"/>
      <c r="S126" s="211">
        <f t="shared" si="25"/>
        <v>1</v>
      </c>
      <c r="T126" s="209">
        <v>1</v>
      </c>
      <c r="U126" s="203"/>
      <c r="V126" s="216"/>
    </row>
    <row r="127" spans="1:22" ht="12.75">
      <c r="A127" s="342">
        <f t="shared" si="19"/>
        <v>119</v>
      </c>
      <c r="B127" s="206" t="s">
        <v>119</v>
      </c>
      <c r="C127" s="211">
        <f t="shared" si="20"/>
        <v>20.309</v>
      </c>
      <c r="D127" s="209">
        <f t="shared" si="20"/>
        <v>20.309</v>
      </c>
      <c r="E127" s="209">
        <f t="shared" si="20"/>
        <v>14</v>
      </c>
      <c r="F127" s="210"/>
      <c r="G127" s="211">
        <f t="shared" si="24"/>
        <v>20.309</v>
      </c>
      <c r="H127" s="209">
        <v>20.309</v>
      </c>
      <c r="I127" s="209">
        <v>14</v>
      </c>
      <c r="J127" s="216"/>
      <c r="K127" s="347"/>
      <c r="L127" s="345"/>
      <c r="M127" s="345"/>
      <c r="N127" s="344"/>
      <c r="O127" s="347"/>
      <c r="P127" s="345"/>
      <c r="Q127" s="345"/>
      <c r="R127" s="344"/>
      <c r="S127" s="211"/>
      <c r="T127" s="209"/>
      <c r="U127" s="203"/>
      <c r="V127" s="216"/>
    </row>
    <row r="128" spans="1:22" ht="12.75">
      <c r="A128" s="342">
        <f t="shared" si="19"/>
        <v>120</v>
      </c>
      <c r="B128" s="206" t="s">
        <v>120</v>
      </c>
      <c r="C128" s="211">
        <f t="shared" si="20"/>
        <v>25.416</v>
      </c>
      <c r="D128" s="209">
        <f t="shared" si="20"/>
        <v>25.416</v>
      </c>
      <c r="E128" s="209">
        <f t="shared" si="20"/>
        <v>14.21</v>
      </c>
      <c r="F128" s="210"/>
      <c r="G128" s="211">
        <f t="shared" si="24"/>
        <v>21.256</v>
      </c>
      <c r="H128" s="209">
        <v>21.256</v>
      </c>
      <c r="I128" s="209">
        <v>13.49</v>
      </c>
      <c r="J128" s="216"/>
      <c r="K128" s="347"/>
      <c r="L128" s="345"/>
      <c r="M128" s="345"/>
      <c r="N128" s="344"/>
      <c r="O128" s="347"/>
      <c r="P128" s="345"/>
      <c r="Q128" s="345"/>
      <c r="R128" s="344"/>
      <c r="S128" s="211">
        <f t="shared" si="25"/>
        <v>4.16</v>
      </c>
      <c r="T128" s="209">
        <v>4.16</v>
      </c>
      <c r="U128" s="209">
        <v>0.72</v>
      </c>
      <c r="V128" s="216"/>
    </row>
    <row r="129" spans="1:22" ht="12.75">
      <c r="A129" s="342">
        <f t="shared" si="19"/>
        <v>121</v>
      </c>
      <c r="B129" s="206" t="s">
        <v>121</v>
      </c>
      <c r="C129" s="211">
        <f t="shared" si="20"/>
        <v>68.365</v>
      </c>
      <c r="D129" s="209">
        <f t="shared" si="20"/>
        <v>68.365</v>
      </c>
      <c r="E129" s="209">
        <f t="shared" si="20"/>
        <v>36.89</v>
      </c>
      <c r="F129" s="210"/>
      <c r="G129" s="211">
        <f t="shared" si="24"/>
        <v>67.765</v>
      </c>
      <c r="H129" s="209">
        <v>67.765</v>
      </c>
      <c r="I129" s="209">
        <v>36.89</v>
      </c>
      <c r="J129" s="216"/>
      <c r="K129" s="347"/>
      <c r="L129" s="345"/>
      <c r="M129" s="345"/>
      <c r="N129" s="344"/>
      <c r="O129" s="347"/>
      <c r="P129" s="345"/>
      <c r="Q129" s="345"/>
      <c r="R129" s="344"/>
      <c r="S129" s="211">
        <f t="shared" si="25"/>
        <v>0.6</v>
      </c>
      <c r="T129" s="209">
        <v>0.6</v>
      </c>
      <c r="U129" s="203"/>
      <c r="V129" s="216"/>
    </row>
    <row r="130" spans="1:22" ht="12.75">
      <c r="A130" s="342">
        <f t="shared" si="19"/>
        <v>122</v>
      </c>
      <c r="B130" s="206" t="s">
        <v>122</v>
      </c>
      <c r="C130" s="211">
        <f t="shared" si="20"/>
        <v>69.32</v>
      </c>
      <c r="D130" s="209">
        <f t="shared" si="20"/>
        <v>69.32</v>
      </c>
      <c r="E130" s="209">
        <f t="shared" si="20"/>
        <v>41.287</v>
      </c>
      <c r="F130" s="210"/>
      <c r="G130" s="211">
        <f t="shared" si="24"/>
        <v>69.32</v>
      </c>
      <c r="H130" s="209">
        <v>69.32</v>
      </c>
      <c r="I130" s="209">
        <v>41.287</v>
      </c>
      <c r="J130" s="216"/>
      <c r="K130" s="347"/>
      <c r="L130" s="345"/>
      <c r="M130" s="345"/>
      <c r="N130" s="344"/>
      <c r="O130" s="347"/>
      <c r="P130" s="345"/>
      <c r="Q130" s="345"/>
      <c r="R130" s="344"/>
      <c r="S130" s="211"/>
      <c r="T130" s="209"/>
      <c r="U130" s="203"/>
      <c r="V130" s="216"/>
    </row>
    <row r="131" spans="1:22" ht="12.75">
      <c r="A131" s="342">
        <f t="shared" si="19"/>
        <v>123</v>
      </c>
      <c r="B131" s="206" t="s">
        <v>123</v>
      </c>
      <c r="C131" s="211">
        <f t="shared" si="20"/>
        <v>2.8</v>
      </c>
      <c r="D131" s="209">
        <f t="shared" si="20"/>
        <v>2.8</v>
      </c>
      <c r="E131" s="209"/>
      <c r="F131" s="210"/>
      <c r="G131" s="211">
        <f t="shared" si="24"/>
        <v>2.8</v>
      </c>
      <c r="H131" s="209">
        <v>2.8</v>
      </c>
      <c r="I131" s="209"/>
      <c r="J131" s="216"/>
      <c r="K131" s="347"/>
      <c r="L131" s="345"/>
      <c r="M131" s="345"/>
      <c r="N131" s="344"/>
      <c r="O131" s="347"/>
      <c r="P131" s="345"/>
      <c r="Q131" s="345"/>
      <c r="R131" s="344"/>
      <c r="S131" s="211"/>
      <c r="T131" s="209"/>
      <c r="U131" s="203"/>
      <c r="V131" s="216"/>
    </row>
    <row r="132" spans="1:22" ht="12.75">
      <c r="A132" s="342">
        <f t="shared" si="19"/>
        <v>124</v>
      </c>
      <c r="B132" s="206" t="s">
        <v>180</v>
      </c>
      <c r="C132" s="211">
        <f t="shared" si="20"/>
        <v>57.141</v>
      </c>
      <c r="D132" s="209">
        <f t="shared" si="20"/>
        <v>57.141</v>
      </c>
      <c r="E132" s="209">
        <f t="shared" si="20"/>
        <v>28.975</v>
      </c>
      <c r="F132" s="210"/>
      <c r="G132" s="211">
        <f t="shared" si="24"/>
        <v>56.141</v>
      </c>
      <c r="H132" s="209">
        <v>56.141</v>
      </c>
      <c r="I132" s="209">
        <v>28.975</v>
      </c>
      <c r="J132" s="216"/>
      <c r="K132" s="347"/>
      <c r="L132" s="345"/>
      <c r="M132" s="345"/>
      <c r="N132" s="344"/>
      <c r="O132" s="347"/>
      <c r="P132" s="345"/>
      <c r="Q132" s="345"/>
      <c r="R132" s="344"/>
      <c r="S132" s="211">
        <f t="shared" si="25"/>
        <v>1</v>
      </c>
      <c r="T132" s="209">
        <v>1</v>
      </c>
      <c r="U132" s="203"/>
      <c r="V132" s="216"/>
    </row>
    <row r="133" spans="1:22" ht="12.75">
      <c r="A133" s="342">
        <f t="shared" si="19"/>
        <v>125</v>
      </c>
      <c r="B133" s="206" t="s">
        <v>125</v>
      </c>
      <c r="C133" s="211">
        <f t="shared" si="20"/>
        <v>0.23</v>
      </c>
      <c r="D133" s="209">
        <f t="shared" si="20"/>
        <v>0.23</v>
      </c>
      <c r="E133" s="209"/>
      <c r="F133" s="210"/>
      <c r="G133" s="232">
        <f t="shared" si="24"/>
        <v>0.23</v>
      </c>
      <c r="H133" s="209">
        <v>0.23</v>
      </c>
      <c r="I133" s="209"/>
      <c r="J133" s="216"/>
      <c r="K133" s="347"/>
      <c r="L133" s="345"/>
      <c r="M133" s="345"/>
      <c r="N133" s="344"/>
      <c r="O133" s="347"/>
      <c r="P133" s="345"/>
      <c r="Q133" s="345"/>
      <c r="R133" s="344"/>
      <c r="S133" s="211"/>
      <c r="T133" s="203"/>
      <c r="U133" s="203"/>
      <c r="V133" s="216"/>
    </row>
    <row r="134" spans="1:22" ht="12.75">
      <c r="A134" s="342">
        <f t="shared" si="19"/>
        <v>126</v>
      </c>
      <c r="B134" s="206" t="s">
        <v>516</v>
      </c>
      <c r="C134" s="211">
        <f t="shared" si="20"/>
        <v>0.29</v>
      </c>
      <c r="D134" s="209">
        <f t="shared" si="20"/>
        <v>0.29</v>
      </c>
      <c r="E134" s="209"/>
      <c r="F134" s="210"/>
      <c r="G134" s="232">
        <f>G135</f>
        <v>0.29</v>
      </c>
      <c r="H134" s="209">
        <f>H135</f>
        <v>0.29</v>
      </c>
      <c r="I134" s="209"/>
      <c r="J134" s="349"/>
      <c r="K134" s="354"/>
      <c r="L134" s="345"/>
      <c r="M134" s="345"/>
      <c r="N134" s="349"/>
      <c r="O134" s="354"/>
      <c r="P134" s="345"/>
      <c r="Q134" s="345"/>
      <c r="R134" s="349"/>
      <c r="S134" s="354"/>
      <c r="T134" s="345"/>
      <c r="U134" s="345"/>
      <c r="V134" s="349"/>
    </row>
    <row r="135" spans="1:22" ht="12.75">
      <c r="A135" s="342">
        <f t="shared" si="19"/>
        <v>127</v>
      </c>
      <c r="B135" s="206" t="s">
        <v>517</v>
      </c>
      <c r="C135" s="196">
        <f t="shared" si="20"/>
        <v>0.29</v>
      </c>
      <c r="D135" s="203">
        <f t="shared" si="20"/>
        <v>0.29</v>
      </c>
      <c r="E135" s="209"/>
      <c r="F135" s="210"/>
      <c r="G135" s="354">
        <f t="shared" si="24"/>
        <v>0.29</v>
      </c>
      <c r="H135" s="203">
        <v>0.29</v>
      </c>
      <c r="I135" s="209"/>
      <c r="J135" s="349"/>
      <c r="K135" s="354"/>
      <c r="L135" s="345"/>
      <c r="M135" s="345"/>
      <c r="N135" s="349"/>
      <c r="O135" s="354"/>
      <c r="P135" s="345"/>
      <c r="Q135" s="345"/>
      <c r="R135" s="349"/>
      <c r="S135" s="232"/>
      <c r="T135" s="209"/>
      <c r="U135" s="209"/>
      <c r="V135" s="233"/>
    </row>
    <row r="136" spans="1:22" ht="12.75">
      <c r="A136" s="342">
        <f t="shared" si="19"/>
        <v>128</v>
      </c>
      <c r="B136" s="206" t="s">
        <v>482</v>
      </c>
      <c r="C136" s="211">
        <f t="shared" si="20"/>
        <v>23</v>
      </c>
      <c r="D136" s="209">
        <f t="shared" si="20"/>
        <v>23</v>
      </c>
      <c r="E136" s="209"/>
      <c r="F136" s="210"/>
      <c r="G136" s="232">
        <f>G137+G138</f>
        <v>23</v>
      </c>
      <c r="H136" s="209">
        <f>H137+H138</f>
        <v>23</v>
      </c>
      <c r="I136" s="345"/>
      <c r="J136" s="349"/>
      <c r="K136" s="354"/>
      <c r="L136" s="345"/>
      <c r="M136" s="345"/>
      <c r="N136" s="349"/>
      <c r="O136" s="354"/>
      <c r="P136" s="345"/>
      <c r="Q136" s="345"/>
      <c r="R136" s="349"/>
      <c r="S136" s="354"/>
      <c r="T136" s="345"/>
      <c r="U136" s="345"/>
      <c r="V136" s="349"/>
    </row>
    <row r="137" spans="1:22" ht="12.75">
      <c r="A137" s="342">
        <f t="shared" si="19"/>
        <v>129</v>
      </c>
      <c r="B137" s="242" t="s">
        <v>518</v>
      </c>
      <c r="C137" s="196">
        <f t="shared" si="20"/>
        <v>20</v>
      </c>
      <c r="D137" s="203">
        <f t="shared" si="20"/>
        <v>20</v>
      </c>
      <c r="E137" s="209"/>
      <c r="F137" s="210"/>
      <c r="G137" s="347">
        <f t="shared" si="24"/>
        <v>20</v>
      </c>
      <c r="H137" s="203">
        <v>20</v>
      </c>
      <c r="I137" s="209"/>
      <c r="J137" s="344"/>
      <c r="K137" s="347"/>
      <c r="L137" s="345"/>
      <c r="M137" s="345"/>
      <c r="N137" s="344"/>
      <c r="O137" s="347"/>
      <c r="P137" s="345"/>
      <c r="Q137" s="345"/>
      <c r="R137" s="344"/>
      <c r="S137" s="211"/>
      <c r="T137" s="209"/>
      <c r="U137" s="209"/>
      <c r="V137" s="212"/>
    </row>
    <row r="138" spans="1:22" ht="12.75">
      <c r="A138" s="342">
        <f t="shared" si="19"/>
        <v>130</v>
      </c>
      <c r="B138" s="390" t="s">
        <v>519</v>
      </c>
      <c r="C138" s="196">
        <f t="shared" si="20"/>
        <v>3</v>
      </c>
      <c r="D138" s="203">
        <f t="shared" si="20"/>
        <v>3</v>
      </c>
      <c r="E138" s="209"/>
      <c r="F138" s="210"/>
      <c r="G138" s="347">
        <f t="shared" si="24"/>
        <v>3</v>
      </c>
      <c r="H138" s="203">
        <v>3</v>
      </c>
      <c r="I138" s="209"/>
      <c r="J138" s="344"/>
      <c r="K138" s="347"/>
      <c r="L138" s="345"/>
      <c r="M138" s="345"/>
      <c r="N138" s="344"/>
      <c r="O138" s="347"/>
      <c r="P138" s="345"/>
      <c r="Q138" s="345"/>
      <c r="R138" s="344"/>
      <c r="S138" s="211"/>
      <c r="T138" s="209"/>
      <c r="U138" s="209"/>
      <c r="V138" s="212"/>
    </row>
    <row r="139" spans="1:22" ht="12.75">
      <c r="A139" s="342">
        <v>131</v>
      </c>
      <c r="B139" s="206" t="s">
        <v>451</v>
      </c>
      <c r="C139" s="211">
        <f>G139+K139+O139+S139</f>
        <v>34.19</v>
      </c>
      <c r="D139" s="209">
        <f>H139+L139+P139+T139</f>
        <v>34.19</v>
      </c>
      <c r="E139" s="209">
        <f t="shared" si="20"/>
        <v>17.545</v>
      </c>
      <c r="F139" s="210"/>
      <c r="G139" s="211">
        <f>+H139</f>
        <v>31.79</v>
      </c>
      <c r="H139" s="209">
        <v>31.79</v>
      </c>
      <c r="I139" s="209">
        <v>17.545</v>
      </c>
      <c r="J139" s="344"/>
      <c r="K139" s="347"/>
      <c r="L139" s="345"/>
      <c r="M139" s="345"/>
      <c r="N139" s="344"/>
      <c r="O139" s="347"/>
      <c r="P139" s="345"/>
      <c r="Q139" s="345"/>
      <c r="R139" s="344"/>
      <c r="S139" s="211">
        <f>T139+V139</f>
        <v>2.4</v>
      </c>
      <c r="T139" s="209">
        <v>2.4</v>
      </c>
      <c r="U139" s="209"/>
      <c r="V139" s="212"/>
    </row>
    <row r="140" spans="1:22" ht="13.5" thickBot="1">
      <c r="A140" s="371">
        <v>132</v>
      </c>
      <c r="B140" s="259" t="s">
        <v>499</v>
      </c>
      <c r="C140" s="265">
        <f>G140+K140+O140+S140</f>
        <v>25.644</v>
      </c>
      <c r="D140" s="263">
        <f>H140+L140+P140+T140</f>
        <v>25.644</v>
      </c>
      <c r="E140" s="263">
        <f>I140+M140+Q140+U140</f>
        <v>17.558</v>
      </c>
      <c r="F140" s="264"/>
      <c r="G140" s="292">
        <f>+H140</f>
        <v>25.244</v>
      </c>
      <c r="H140" s="290">
        <v>25.244</v>
      </c>
      <c r="I140" s="290">
        <v>17.558</v>
      </c>
      <c r="J140" s="374"/>
      <c r="K140" s="391"/>
      <c r="L140" s="392"/>
      <c r="M140" s="392"/>
      <c r="N140" s="393"/>
      <c r="O140" s="391"/>
      <c r="P140" s="392"/>
      <c r="Q140" s="392"/>
      <c r="R140" s="393"/>
      <c r="S140" s="211">
        <f>T140+V140</f>
        <v>0.4</v>
      </c>
      <c r="T140" s="263">
        <v>0.4</v>
      </c>
      <c r="U140" s="263"/>
      <c r="V140" s="266"/>
    </row>
    <row r="141" spans="1:22" ht="45.75" thickBot="1">
      <c r="A141" s="322">
        <v>133</v>
      </c>
      <c r="B141" s="394" t="s">
        <v>520</v>
      </c>
      <c r="C141" s="324">
        <f t="shared" si="20"/>
        <v>4017.5139999999997</v>
      </c>
      <c r="D141" s="309">
        <f t="shared" si="20"/>
        <v>3964.814</v>
      </c>
      <c r="E141" s="309">
        <f t="shared" si="20"/>
        <v>649.2280000000001</v>
      </c>
      <c r="F141" s="314">
        <f t="shared" si="20"/>
        <v>52.7</v>
      </c>
      <c r="G141" s="324">
        <f>G142+SUM(G159:G170)+G172+G175</f>
        <v>2761.0299999999997</v>
      </c>
      <c r="H141" s="313">
        <f>H142+SUM(H159:H170)+H172+H175</f>
        <v>2708.33</v>
      </c>
      <c r="I141" s="309">
        <f>I142+SUM(I159:I170)+I172+I175</f>
        <v>231.912</v>
      </c>
      <c r="J141" s="316">
        <f>J142+SUM(J159:J170)+J172+J175</f>
        <v>52.7</v>
      </c>
      <c r="K141" s="325">
        <f>K142+SUM(K160:K170)+K175</f>
        <v>1061.484</v>
      </c>
      <c r="L141" s="309">
        <f>L142+SUM(L160:L170)+L175</f>
        <v>1061.484</v>
      </c>
      <c r="M141" s="309">
        <f>M142+SUM(M159:M170)+M172+M175</f>
        <v>314.216</v>
      </c>
      <c r="N141" s="316"/>
      <c r="O141" s="324"/>
      <c r="P141" s="309"/>
      <c r="Q141" s="309"/>
      <c r="R141" s="316"/>
      <c r="S141" s="324">
        <f>S142+SUM(S159:S170)+S172+S175</f>
        <v>195</v>
      </c>
      <c r="T141" s="309">
        <f>T159+T175</f>
        <v>195</v>
      </c>
      <c r="U141" s="309">
        <f>U159+U175</f>
        <v>103.1</v>
      </c>
      <c r="V141" s="316"/>
    </row>
    <row r="142" spans="1:22" ht="12.75">
      <c r="A142" s="327">
        <f t="shared" si="19"/>
        <v>134</v>
      </c>
      <c r="B142" s="341" t="s">
        <v>467</v>
      </c>
      <c r="C142" s="336">
        <f t="shared" si="20"/>
        <v>2847.7</v>
      </c>
      <c r="D142" s="334">
        <f t="shared" si="20"/>
        <v>2795</v>
      </c>
      <c r="E142" s="334">
        <f t="shared" si="20"/>
        <v>40.923</v>
      </c>
      <c r="F142" s="337">
        <f t="shared" si="20"/>
        <v>52.7</v>
      </c>
      <c r="G142" s="334">
        <f>SUM(G143:G158)</f>
        <v>2375.2999999999997</v>
      </c>
      <c r="H142" s="334">
        <f>SUM(H143:H158)</f>
        <v>2322.6</v>
      </c>
      <c r="I142" s="334"/>
      <c r="J142" s="338">
        <f>SUM(J143:J157)</f>
        <v>52.7</v>
      </c>
      <c r="K142" s="339">
        <f>SUM(K143:K154)+K155</f>
        <v>472.40000000000003</v>
      </c>
      <c r="L142" s="334">
        <f>SUM(L143:L154)</f>
        <v>472.40000000000003</v>
      </c>
      <c r="M142" s="334">
        <f>SUM(M143:M154)</f>
        <v>40.923</v>
      </c>
      <c r="N142" s="364"/>
      <c r="O142" s="383"/>
      <c r="P142" s="368"/>
      <c r="Q142" s="368"/>
      <c r="R142" s="364"/>
      <c r="S142" s="383"/>
      <c r="T142" s="368"/>
      <c r="U142" s="368"/>
      <c r="V142" s="364"/>
    </row>
    <row r="143" spans="1:22" ht="12.75">
      <c r="A143" s="342">
        <f t="shared" si="19"/>
        <v>135</v>
      </c>
      <c r="B143" s="242" t="s">
        <v>521</v>
      </c>
      <c r="C143" s="196">
        <f t="shared" si="20"/>
        <v>1688.4</v>
      </c>
      <c r="D143" s="345">
        <f t="shared" si="20"/>
        <v>1688.4</v>
      </c>
      <c r="E143" s="209"/>
      <c r="F143" s="212"/>
      <c r="G143" s="351">
        <f t="shared" si="24"/>
        <v>1688.4</v>
      </c>
      <c r="H143" s="345">
        <f>1727.4-39</f>
        <v>1688.4</v>
      </c>
      <c r="I143" s="345"/>
      <c r="J143" s="346"/>
      <c r="K143" s="347"/>
      <c r="L143" s="345"/>
      <c r="M143" s="345"/>
      <c r="N143" s="344"/>
      <c r="O143" s="347"/>
      <c r="P143" s="345"/>
      <c r="Q143" s="345"/>
      <c r="R143" s="344"/>
      <c r="S143" s="347"/>
      <c r="T143" s="345"/>
      <c r="U143" s="345"/>
      <c r="V143" s="344"/>
    </row>
    <row r="144" spans="1:22" ht="12.75">
      <c r="A144" s="342">
        <f>+A143+1</f>
        <v>136</v>
      </c>
      <c r="B144" s="242" t="s">
        <v>522</v>
      </c>
      <c r="C144" s="196">
        <f t="shared" si="20"/>
        <v>25</v>
      </c>
      <c r="D144" s="345">
        <f t="shared" si="20"/>
        <v>25</v>
      </c>
      <c r="E144" s="209"/>
      <c r="F144" s="212"/>
      <c r="G144" s="351">
        <f t="shared" si="24"/>
        <v>25</v>
      </c>
      <c r="H144" s="345">
        <v>25</v>
      </c>
      <c r="I144" s="345"/>
      <c r="J144" s="346"/>
      <c r="K144" s="347"/>
      <c r="L144" s="345"/>
      <c r="M144" s="345"/>
      <c r="N144" s="344"/>
      <c r="O144" s="347"/>
      <c r="P144" s="345"/>
      <c r="Q144" s="345"/>
      <c r="R144" s="344"/>
      <c r="S144" s="347"/>
      <c r="T144" s="345"/>
      <c r="U144" s="345"/>
      <c r="V144" s="344"/>
    </row>
    <row r="145" spans="1:22" ht="12.75">
      <c r="A145" s="342">
        <f>+A144+1</f>
        <v>137</v>
      </c>
      <c r="B145" s="242" t="s">
        <v>523</v>
      </c>
      <c r="C145" s="196">
        <f t="shared" si="20"/>
        <v>55</v>
      </c>
      <c r="D145" s="345">
        <f t="shared" si="20"/>
        <v>55</v>
      </c>
      <c r="E145" s="209"/>
      <c r="F145" s="212"/>
      <c r="G145" s="351">
        <f t="shared" si="24"/>
        <v>55</v>
      </c>
      <c r="H145" s="345">
        <v>55</v>
      </c>
      <c r="I145" s="345"/>
      <c r="J145" s="346"/>
      <c r="K145" s="347"/>
      <c r="L145" s="345"/>
      <c r="M145" s="345"/>
      <c r="N145" s="344"/>
      <c r="O145" s="347"/>
      <c r="P145" s="345"/>
      <c r="Q145" s="345"/>
      <c r="R145" s="344"/>
      <c r="S145" s="347"/>
      <c r="T145" s="345"/>
      <c r="U145" s="345"/>
      <c r="V145" s="344"/>
    </row>
    <row r="146" spans="1:22" ht="12.75">
      <c r="A146" s="342">
        <v>138</v>
      </c>
      <c r="B146" s="242" t="s">
        <v>524</v>
      </c>
      <c r="C146" s="196">
        <f t="shared" si="20"/>
        <v>3</v>
      </c>
      <c r="D146" s="345">
        <f t="shared" si="20"/>
        <v>3</v>
      </c>
      <c r="E146" s="209"/>
      <c r="F146" s="212"/>
      <c r="G146" s="351">
        <f t="shared" si="24"/>
        <v>3</v>
      </c>
      <c r="H146" s="343">
        <v>3</v>
      </c>
      <c r="I146" s="345"/>
      <c r="J146" s="346"/>
      <c r="K146" s="347"/>
      <c r="L146" s="345"/>
      <c r="M146" s="345"/>
      <c r="N146" s="344"/>
      <c r="O146" s="347"/>
      <c r="P146" s="345"/>
      <c r="Q146" s="345"/>
      <c r="R146" s="344"/>
      <c r="S146" s="347"/>
      <c r="T146" s="345"/>
      <c r="U146" s="345"/>
      <c r="V146" s="344"/>
    </row>
    <row r="147" spans="1:22" ht="12.75">
      <c r="A147" s="342">
        <v>139</v>
      </c>
      <c r="B147" s="370" t="s">
        <v>525</v>
      </c>
      <c r="C147" s="196">
        <f t="shared" si="20"/>
        <v>260</v>
      </c>
      <c r="D147" s="345">
        <f t="shared" si="20"/>
        <v>260</v>
      </c>
      <c r="E147" s="209"/>
      <c r="F147" s="212"/>
      <c r="G147" s="351">
        <f t="shared" si="24"/>
        <v>260</v>
      </c>
      <c r="H147" s="345">
        <v>260</v>
      </c>
      <c r="I147" s="345"/>
      <c r="J147" s="346"/>
      <c r="K147" s="347"/>
      <c r="L147" s="345"/>
      <c r="M147" s="345"/>
      <c r="N147" s="344"/>
      <c r="O147" s="347"/>
      <c r="P147" s="345"/>
      <c r="Q147" s="345"/>
      <c r="R147" s="344"/>
      <c r="S147" s="347"/>
      <c r="T147" s="345"/>
      <c r="U147" s="345"/>
      <c r="V147" s="344"/>
    </row>
    <row r="148" spans="1:22" ht="12.75">
      <c r="A148" s="342">
        <f>+A147+1</f>
        <v>140</v>
      </c>
      <c r="B148" s="242" t="s">
        <v>526</v>
      </c>
      <c r="C148" s="196">
        <f t="shared" si="20"/>
        <v>279</v>
      </c>
      <c r="D148" s="345">
        <f t="shared" si="20"/>
        <v>279</v>
      </c>
      <c r="E148" s="209"/>
      <c r="F148" s="212"/>
      <c r="G148" s="351"/>
      <c r="H148" s="345"/>
      <c r="I148" s="345"/>
      <c r="J148" s="346"/>
      <c r="K148" s="347">
        <f>L148+N148</f>
        <v>279</v>
      </c>
      <c r="L148" s="345">
        <v>279</v>
      </c>
      <c r="M148" s="345"/>
      <c r="N148" s="344"/>
      <c r="O148" s="347"/>
      <c r="P148" s="345"/>
      <c r="Q148" s="345"/>
      <c r="R148" s="344"/>
      <c r="S148" s="347"/>
      <c r="T148" s="345"/>
      <c r="U148" s="345"/>
      <c r="V148" s="344"/>
    </row>
    <row r="149" spans="1:22" ht="12.75">
      <c r="A149" s="342">
        <f>+A148+1</f>
        <v>141</v>
      </c>
      <c r="B149" s="242" t="s">
        <v>527</v>
      </c>
      <c r="C149" s="196">
        <f t="shared" si="20"/>
        <v>139.8</v>
      </c>
      <c r="D149" s="345">
        <f t="shared" si="20"/>
        <v>139.8</v>
      </c>
      <c r="E149" s="209"/>
      <c r="F149" s="212"/>
      <c r="G149" s="351"/>
      <c r="H149" s="345"/>
      <c r="I149" s="345"/>
      <c r="J149" s="346"/>
      <c r="K149" s="347">
        <f>L149+N149</f>
        <v>139.8</v>
      </c>
      <c r="L149" s="345">
        <v>139.8</v>
      </c>
      <c r="M149" s="345"/>
      <c r="N149" s="344"/>
      <c r="O149" s="347"/>
      <c r="P149" s="345"/>
      <c r="Q149" s="345"/>
      <c r="R149" s="344"/>
      <c r="S149" s="347"/>
      <c r="T149" s="345"/>
      <c r="U149" s="345"/>
      <c r="V149" s="344"/>
    </row>
    <row r="150" spans="1:22" ht="12.75">
      <c r="A150" s="342">
        <v>142</v>
      </c>
      <c r="B150" s="242" t="s">
        <v>528</v>
      </c>
      <c r="C150" s="196">
        <f t="shared" si="20"/>
        <v>50</v>
      </c>
      <c r="D150" s="345">
        <f t="shared" si="20"/>
        <v>50</v>
      </c>
      <c r="E150" s="345">
        <f t="shared" si="20"/>
        <v>38.174</v>
      </c>
      <c r="F150" s="212"/>
      <c r="G150" s="351"/>
      <c r="H150" s="345"/>
      <c r="I150" s="345"/>
      <c r="J150" s="346"/>
      <c r="K150" s="347">
        <f>L150+N150</f>
        <v>50</v>
      </c>
      <c r="L150" s="345">
        <v>50</v>
      </c>
      <c r="M150" s="345">
        <v>38.174</v>
      </c>
      <c r="N150" s="344"/>
      <c r="O150" s="347"/>
      <c r="P150" s="345"/>
      <c r="Q150" s="345"/>
      <c r="R150" s="344"/>
      <c r="S150" s="347"/>
      <c r="T150" s="345"/>
      <c r="U150" s="345"/>
      <c r="V150" s="344"/>
    </row>
    <row r="151" spans="1:22" ht="12.75">
      <c r="A151" s="342">
        <v>143</v>
      </c>
      <c r="B151" s="242" t="s">
        <v>529</v>
      </c>
      <c r="C151" s="196">
        <f t="shared" si="20"/>
        <v>244.2</v>
      </c>
      <c r="D151" s="345">
        <f t="shared" si="20"/>
        <v>244.2</v>
      </c>
      <c r="E151" s="209"/>
      <c r="F151" s="212"/>
      <c r="G151" s="351">
        <f t="shared" si="24"/>
        <v>244.2</v>
      </c>
      <c r="H151" s="345">
        <v>244.2</v>
      </c>
      <c r="I151" s="345"/>
      <c r="J151" s="346"/>
      <c r="K151" s="347"/>
      <c r="L151" s="345"/>
      <c r="M151" s="345"/>
      <c r="N151" s="344"/>
      <c r="O151" s="347"/>
      <c r="P151" s="345"/>
      <c r="Q151" s="345"/>
      <c r="R151" s="344"/>
      <c r="S151" s="347"/>
      <c r="T151" s="345"/>
      <c r="U151" s="345"/>
      <c r="V151" s="344"/>
    </row>
    <row r="152" spans="1:22" ht="27" customHeight="1">
      <c r="A152" s="395">
        <v>144</v>
      </c>
      <c r="B152" s="396" t="s">
        <v>530</v>
      </c>
      <c r="C152" s="397">
        <f t="shared" si="20"/>
        <v>10</v>
      </c>
      <c r="D152" s="398">
        <f>H152+L152+P152+T152</f>
        <v>10</v>
      </c>
      <c r="E152" s="399"/>
      <c r="F152" s="400"/>
      <c r="G152" s="401">
        <f t="shared" si="24"/>
        <v>10</v>
      </c>
      <c r="H152" s="402">
        <f>5+5</f>
        <v>10</v>
      </c>
      <c r="I152" s="403"/>
      <c r="J152" s="404"/>
      <c r="K152" s="347"/>
      <c r="L152" s="403"/>
      <c r="M152" s="403"/>
      <c r="N152" s="405"/>
      <c r="O152" s="406"/>
      <c r="P152" s="403"/>
      <c r="Q152" s="403"/>
      <c r="R152" s="405"/>
      <c r="S152" s="255"/>
      <c r="T152" s="403"/>
      <c r="U152" s="403"/>
      <c r="V152" s="405"/>
    </row>
    <row r="153" spans="1:22" ht="12.75">
      <c r="A153" s="395">
        <v>145</v>
      </c>
      <c r="B153" s="396" t="s">
        <v>531</v>
      </c>
      <c r="C153" s="397">
        <f t="shared" si="20"/>
        <v>3.6</v>
      </c>
      <c r="D153" s="398">
        <f>H153+L153+P153+T153</f>
        <v>3.6</v>
      </c>
      <c r="E153" s="398">
        <f>I153+M153+Q153+U153</f>
        <v>2.749</v>
      </c>
      <c r="F153" s="400"/>
      <c r="G153" s="401"/>
      <c r="H153" s="402"/>
      <c r="I153" s="403"/>
      <c r="J153" s="404"/>
      <c r="K153" s="347">
        <f>L153+N153</f>
        <v>3.6</v>
      </c>
      <c r="L153" s="403">
        <v>3.6</v>
      </c>
      <c r="M153" s="403">
        <v>2.749</v>
      </c>
      <c r="N153" s="405"/>
      <c r="O153" s="406"/>
      <c r="P153" s="403"/>
      <c r="Q153" s="403"/>
      <c r="R153" s="405"/>
      <c r="S153" s="255"/>
      <c r="T153" s="403"/>
      <c r="U153" s="403"/>
      <c r="V153" s="405"/>
    </row>
    <row r="154" spans="1:22" ht="25.5">
      <c r="A154" s="342">
        <v>146</v>
      </c>
      <c r="B154" s="355" t="s">
        <v>532</v>
      </c>
      <c r="C154" s="196">
        <f t="shared" si="20"/>
        <v>28.7</v>
      </c>
      <c r="D154" s="398"/>
      <c r="E154" s="209"/>
      <c r="F154" s="216">
        <f t="shared" si="20"/>
        <v>28.7</v>
      </c>
      <c r="G154" s="401">
        <f t="shared" si="24"/>
        <v>28.7</v>
      </c>
      <c r="H154" s="345"/>
      <c r="I154" s="345"/>
      <c r="J154" s="346">
        <v>28.7</v>
      </c>
      <c r="K154" s="347"/>
      <c r="L154" s="345"/>
      <c r="M154" s="345"/>
      <c r="N154" s="344"/>
      <c r="O154" s="347"/>
      <c r="P154" s="345"/>
      <c r="Q154" s="345"/>
      <c r="R154" s="344"/>
      <c r="S154" s="347"/>
      <c r="T154" s="345"/>
      <c r="U154" s="345"/>
      <c r="V154" s="344"/>
    </row>
    <row r="155" spans="1:22" ht="25.5">
      <c r="A155" s="342">
        <v>147</v>
      </c>
      <c r="B155" s="407" t="s">
        <v>366</v>
      </c>
      <c r="C155" s="196">
        <f t="shared" si="20"/>
        <v>24</v>
      </c>
      <c r="D155" s="398"/>
      <c r="E155" s="209"/>
      <c r="F155" s="216">
        <f t="shared" si="20"/>
        <v>24</v>
      </c>
      <c r="G155" s="401">
        <f t="shared" si="24"/>
        <v>24</v>
      </c>
      <c r="H155" s="345"/>
      <c r="I155" s="345"/>
      <c r="J155" s="346">
        <f>10+14</f>
        <v>24</v>
      </c>
      <c r="K155" s="347"/>
      <c r="L155" s="345"/>
      <c r="M155" s="345"/>
      <c r="N155" s="344"/>
      <c r="O155" s="347"/>
      <c r="P155" s="345"/>
      <c r="Q155" s="345"/>
      <c r="R155" s="344"/>
      <c r="S155" s="347"/>
      <c r="T155" s="345"/>
      <c r="U155" s="345"/>
      <c r="V155" s="344"/>
    </row>
    <row r="156" spans="1:22" ht="12.75">
      <c r="A156" s="342">
        <v>148</v>
      </c>
      <c r="B156" s="407" t="s">
        <v>533</v>
      </c>
      <c r="C156" s="196">
        <f t="shared" si="20"/>
        <v>16</v>
      </c>
      <c r="D156" s="398">
        <f>H156+L156+P156+T156</f>
        <v>16</v>
      </c>
      <c r="E156" s="209"/>
      <c r="F156" s="216"/>
      <c r="G156" s="401">
        <f t="shared" si="24"/>
        <v>16</v>
      </c>
      <c r="H156" s="345">
        <v>16</v>
      </c>
      <c r="I156" s="345"/>
      <c r="J156" s="346"/>
      <c r="K156" s="347"/>
      <c r="L156" s="345"/>
      <c r="M156" s="345"/>
      <c r="N156" s="344"/>
      <c r="O156" s="347"/>
      <c r="P156" s="345"/>
      <c r="Q156" s="345"/>
      <c r="R156" s="344"/>
      <c r="S156" s="347"/>
      <c r="T156" s="345"/>
      <c r="U156" s="345"/>
      <c r="V156" s="344"/>
    </row>
    <row r="157" spans="1:22" ht="12.75">
      <c r="A157" s="342">
        <v>149</v>
      </c>
      <c r="B157" s="407" t="s">
        <v>534</v>
      </c>
      <c r="C157" s="196">
        <f t="shared" si="20"/>
        <v>1</v>
      </c>
      <c r="D157" s="398">
        <f>H157+L157+P157+T157</f>
        <v>1</v>
      </c>
      <c r="E157" s="209"/>
      <c r="F157" s="216"/>
      <c r="G157" s="401">
        <f t="shared" si="24"/>
        <v>1</v>
      </c>
      <c r="H157" s="345">
        <v>1</v>
      </c>
      <c r="I157" s="345"/>
      <c r="J157" s="346"/>
      <c r="K157" s="347"/>
      <c r="L157" s="345"/>
      <c r="M157" s="345"/>
      <c r="N157" s="344"/>
      <c r="O157" s="347"/>
      <c r="P157" s="345"/>
      <c r="Q157" s="345"/>
      <c r="R157" s="344"/>
      <c r="S157" s="347"/>
      <c r="T157" s="345"/>
      <c r="U157" s="345"/>
      <c r="V157" s="344"/>
    </row>
    <row r="158" spans="1:22" ht="25.5">
      <c r="A158" s="342">
        <v>150</v>
      </c>
      <c r="B158" s="407" t="s">
        <v>626</v>
      </c>
      <c r="C158" s="196">
        <f t="shared" si="20"/>
        <v>20</v>
      </c>
      <c r="D158" s="398">
        <f>H158+L158+P158+T158</f>
        <v>20</v>
      </c>
      <c r="E158" s="209"/>
      <c r="F158" s="216"/>
      <c r="G158" s="401">
        <f t="shared" si="24"/>
        <v>20</v>
      </c>
      <c r="H158" s="345">
        <v>20</v>
      </c>
      <c r="I158" s="345"/>
      <c r="J158" s="346"/>
      <c r="K158" s="347"/>
      <c r="L158" s="345"/>
      <c r="M158" s="345"/>
      <c r="N158" s="344"/>
      <c r="O158" s="347"/>
      <c r="P158" s="345"/>
      <c r="Q158" s="345"/>
      <c r="R158" s="344"/>
      <c r="S158" s="347"/>
      <c r="T158" s="345"/>
      <c r="U158" s="345"/>
      <c r="V158" s="344"/>
    </row>
    <row r="159" spans="1:22" ht="12.75">
      <c r="A159" s="342">
        <v>151</v>
      </c>
      <c r="B159" s="206" t="s">
        <v>179</v>
      </c>
      <c r="C159" s="211">
        <f t="shared" si="20"/>
        <v>398.412</v>
      </c>
      <c r="D159" s="209">
        <f t="shared" si="20"/>
        <v>398.412</v>
      </c>
      <c r="E159" s="209">
        <f t="shared" si="20"/>
        <v>257.712</v>
      </c>
      <c r="F159" s="212"/>
      <c r="G159" s="207">
        <f t="shared" si="24"/>
        <v>338.412</v>
      </c>
      <c r="H159" s="209">
        <v>338.412</v>
      </c>
      <c r="I159" s="209">
        <v>231.912</v>
      </c>
      <c r="J159" s="210"/>
      <c r="K159" s="211"/>
      <c r="L159" s="209"/>
      <c r="M159" s="209"/>
      <c r="N159" s="344"/>
      <c r="O159" s="347"/>
      <c r="P159" s="345"/>
      <c r="Q159" s="345"/>
      <c r="R159" s="344"/>
      <c r="S159" s="211">
        <f>T159+V159</f>
        <v>60</v>
      </c>
      <c r="T159" s="209">
        <v>60</v>
      </c>
      <c r="U159" s="209">
        <v>25.8</v>
      </c>
      <c r="V159" s="212"/>
    </row>
    <row r="160" spans="1:22" ht="12.75">
      <c r="A160" s="342">
        <f aca="true" t="shared" si="26" ref="A160:A207">+A159+1</f>
        <v>152</v>
      </c>
      <c r="B160" s="206" t="s">
        <v>116</v>
      </c>
      <c r="C160" s="211">
        <f t="shared" si="20"/>
        <v>33.004</v>
      </c>
      <c r="D160" s="209">
        <f t="shared" si="20"/>
        <v>33.004</v>
      </c>
      <c r="E160" s="209">
        <f t="shared" si="20"/>
        <v>7.03</v>
      </c>
      <c r="F160" s="212"/>
      <c r="G160" s="207"/>
      <c r="H160" s="203"/>
      <c r="I160" s="203"/>
      <c r="J160" s="214"/>
      <c r="K160" s="211">
        <f aca="true" t="shared" si="27" ref="K160:K171">L160+N160</f>
        <v>33.004</v>
      </c>
      <c r="L160" s="209">
        <v>33.004</v>
      </c>
      <c r="M160" s="209">
        <v>7.03</v>
      </c>
      <c r="N160" s="216"/>
      <c r="O160" s="347"/>
      <c r="P160" s="345"/>
      <c r="Q160" s="345"/>
      <c r="R160" s="344"/>
      <c r="S160" s="347"/>
      <c r="T160" s="345"/>
      <c r="U160" s="345"/>
      <c r="V160" s="344"/>
    </row>
    <row r="161" spans="1:22" ht="12.75">
      <c r="A161" s="342">
        <f t="shared" si="26"/>
        <v>153</v>
      </c>
      <c r="B161" s="206" t="s">
        <v>117</v>
      </c>
      <c r="C161" s="211">
        <f t="shared" si="20"/>
        <v>21.652</v>
      </c>
      <c r="D161" s="209">
        <f t="shared" si="20"/>
        <v>21.652</v>
      </c>
      <c r="E161" s="209">
        <f t="shared" si="20"/>
        <v>7.26</v>
      </c>
      <c r="F161" s="212"/>
      <c r="G161" s="207"/>
      <c r="H161" s="203"/>
      <c r="I161" s="203"/>
      <c r="J161" s="214"/>
      <c r="K161" s="211">
        <f t="shared" si="27"/>
        <v>21.652</v>
      </c>
      <c r="L161" s="209">
        <v>21.652</v>
      </c>
      <c r="M161" s="209">
        <v>7.26</v>
      </c>
      <c r="N161" s="216"/>
      <c r="O161" s="347"/>
      <c r="P161" s="345"/>
      <c r="Q161" s="345"/>
      <c r="R161" s="344"/>
      <c r="S161" s="347"/>
      <c r="T161" s="345"/>
      <c r="U161" s="345"/>
      <c r="V161" s="344"/>
    </row>
    <row r="162" spans="1:22" ht="12.75">
      <c r="A162" s="342">
        <f t="shared" si="26"/>
        <v>154</v>
      </c>
      <c r="B162" s="206" t="s">
        <v>118</v>
      </c>
      <c r="C162" s="211">
        <f t="shared" si="20"/>
        <v>21.902</v>
      </c>
      <c r="D162" s="209">
        <f t="shared" si="20"/>
        <v>21.902</v>
      </c>
      <c r="E162" s="209">
        <f t="shared" si="20"/>
        <v>7.45</v>
      </c>
      <c r="F162" s="212"/>
      <c r="G162" s="207"/>
      <c r="H162" s="203"/>
      <c r="I162" s="203"/>
      <c r="J162" s="214"/>
      <c r="K162" s="211">
        <f t="shared" si="27"/>
        <v>21.902</v>
      </c>
      <c r="L162" s="209">
        <v>21.902</v>
      </c>
      <c r="M162" s="209">
        <v>7.45</v>
      </c>
      <c r="N162" s="216"/>
      <c r="O162" s="347"/>
      <c r="P162" s="345"/>
      <c r="Q162" s="345"/>
      <c r="R162" s="344"/>
      <c r="S162" s="347"/>
      <c r="T162" s="345"/>
      <c r="U162" s="345"/>
      <c r="V162" s="344"/>
    </row>
    <row r="163" spans="1:22" ht="12.75">
      <c r="A163" s="342">
        <f t="shared" si="26"/>
        <v>155</v>
      </c>
      <c r="B163" s="206" t="s">
        <v>119</v>
      </c>
      <c r="C163" s="211">
        <f t="shared" si="20"/>
        <v>7.818</v>
      </c>
      <c r="D163" s="209">
        <f t="shared" si="20"/>
        <v>7.818</v>
      </c>
      <c r="E163" s="209">
        <f t="shared" si="20"/>
        <v>1.76</v>
      </c>
      <c r="F163" s="212"/>
      <c r="G163" s="207"/>
      <c r="H163" s="203"/>
      <c r="I163" s="203"/>
      <c r="J163" s="214"/>
      <c r="K163" s="211">
        <f t="shared" si="27"/>
        <v>7.818</v>
      </c>
      <c r="L163" s="209">
        <v>7.818</v>
      </c>
      <c r="M163" s="209">
        <v>1.76</v>
      </c>
      <c r="N163" s="216"/>
      <c r="O163" s="347"/>
      <c r="P163" s="345"/>
      <c r="Q163" s="345"/>
      <c r="R163" s="344"/>
      <c r="S163" s="347"/>
      <c r="T163" s="345"/>
      <c r="U163" s="345"/>
      <c r="V163" s="344"/>
    </row>
    <row r="164" spans="1:22" ht="12.75">
      <c r="A164" s="342">
        <f t="shared" si="26"/>
        <v>156</v>
      </c>
      <c r="B164" s="206" t="s">
        <v>120</v>
      </c>
      <c r="C164" s="211">
        <f t="shared" si="20"/>
        <v>16.566</v>
      </c>
      <c r="D164" s="209">
        <f t="shared" si="20"/>
        <v>16.566</v>
      </c>
      <c r="E164" s="209">
        <f t="shared" si="20"/>
        <v>5.59</v>
      </c>
      <c r="F164" s="212"/>
      <c r="G164" s="207"/>
      <c r="H164" s="203"/>
      <c r="I164" s="203"/>
      <c r="J164" s="214"/>
      <c r="K164" s="211">
        <f t="shared" si="27"/>
        <v>16.566</v>
      </c>
      <c r="L164" s="209">
        <v>16.566</v>
      </c>
      <c r="M164" s="209">
        <v>5.59</v>
      </c>
      <c r="N164" s="216"/>
      <c r="O164" s="347"/>
      <c r="P164" s="345"/>
      <c r="Q164" s="345"/>
      <c r="R164" s="344"/>
      <c r="S164" s="347"/>
      <c r="T164" s="345"/>
      <c r="U164" s="345"/>
      <c r="V164" s="344"/>
    </row>
    <row r="165" spans="1:22" ht="12.75">
      <c r="A165" s="342">
        <f t="shared" si="26"/>
        <v>157</v>
      </c>
      <c r="B165" s="206" t="s">
        <v>121</v>
      </c>
      <c r="C165" s="211">
        <f t="shared" si="20"/>
        <v>30.21</v>
      </c>
      <c r="D165" s="209">
        <f t="shared" si="20"/>
        <v>30.21</v>
      </c>
      <c r="E165" s="209">
        <f t="shared" si="20"/>
        <v>7.45</v>
      </c>
      <c r="F165" s="212"/>
      <c r="G165" s="207"/>
      <c r="H165" s="203"/>
      <c r="I165" s="203"/>
      <c r="J165" s="214"/>
      <c r="K165" s="211">
        <f t="shared" si="27"/>
        <v>30.21</v>
      </c>
      <c r="L165" s="209">
        <v>30.21</v>
      </c>
      <c r="M165" s="209">
        <v>7.45</v>
      </c>
      <c r="N165" s="216"/>
      <c r="O165" s="347"/>
      <c r="P165" s="345"/>
      <c r="Q165" s="345"/>
      <c r="R165" s="344"/>
      <c r="S165" s="347"/>
      <c r="T165" s="345"/>
      <c r="U165" s="345"/>
      <c r="V165" s="344"/>
    </row>
    <row r="166" spans="1:22" ht="12.75">
      <c r="A166" s="342">
        <f t="shared" si="26"/>
        <v>158</v>
      </c>
      <c r="B166" s="206" t="s">
        <v>122</v>
      </c>
      <c r="C166" s="211">
        <f t="shared" si="20"/>
        <v>27.474</v>
      </c>
      <c r="D166" s="209">
        <f t="shared" si="20"/>
        <v>27.474</v>
      </c>
      <c r="E166" s="209">
        <f t="shared" si="20"/>
        <v>7.45</v>
      </c>
      <c r="F166" s="212"/>
      <c r="G166" s="207"/>
      <c r="H166" s="203"/>
      <c r="I166" s="203"/>
      <c r="J166" s="214"/>
      <c r="K166" s="211">
        <f t="shared" si="27"/>
        <v>27.474</v>
      </c>
      <c r="L166" s="209">
        <v>27.474</v>
      </c>
      <c r="M166" s="209">
        <v>7.45</v>
      </c>
      <c r="N166" s="216"/>
      <c r="O166" s="347"/>
      <c r="P166" s="345"/>
      <c r="Q166" s="345"/>
      <c r="R166" s="344"/>
      <c r="S166" s="347"/>
      <c r="T166" s="345"/>
      <c r="U166" s="345"/>
      <c r="V166" s="344"/>
    </row>
    <row r="167" spans="1:22" ht="12.75">
      <c r="A167" s="342">
        <f t="shared" si="26"/>
        <v>159</v>
      </c>
      <c r="B167" s="206" t="s">
        <v>123</v>
      </c>
      <c r="C167" s="211">
        <f aca="true" t="shared" si="28" ref="C167:E176">G167+K167+O167+S167</f>
        <v>18.054</v>
      </c>
      <c r="D167" s="209">
        <f t="shared" si="28"/>
        <v>18.054</v>
      </c>
      <c r="E167" s="209">
        <f t="shared" si="28"/>
        <v>7.45</v>
      </c>
      <c r="F167" s="212"/>
      <c r="G167" s="207"/>
      <c r="H167" s="203"/>
      <c r="I167" s="203"/>
      <c r="J167" s="214"/>
      <c r="K167" s="211">
        <f t="shared" si="27"/>
        <v>18.054</v>
      </c>
      <c r="L167" s="209">
        <v>18.054</v>
      </c>
      <c r="M167" s="209">
        <v>7.45</v>
      </c>
      <c r="N167" s="216"/>
      <c r="O167" s="347"/>
      <c r="P167" s="345"/>
      <c r="Q167" s="345"/>
      <c r="R167" s="344"/>
      <c r="S167" s="347"/>
      <c r="T167" s="345"/>
      <c r="U167" s="345"/>
      <c r="V167" s="344"/>
    </row>
    <row r="168" spans="1:22" ht="12.75">
      <c r="A168" s="342">
        <f t="shared" si="26"/>
        <v>160</v>
      </c>
      <c r="B168" s="206" t="s">
        <v>180</v>
      </c>
      <c r="C168" s="211">
        <f t="shared" si="28"/>
        <v>39.382</v>
      </c>
      <c r="D168" s="209">
        <f t="shared" si="28"/>
        <v>39.382</v>
      </c>
      <c r="E168" s="209">
        <f t="shared" si="28"/>
        <v>7.45</v>
      </c>
      <c r="F168" s="212"/>
      <c r="G168" s="207">
        <f t="shared" si="24"/>
        <v>1.018</v>
      </c>
      <c r="H168" s="209">
        <v>1.018</v>
      </c>
      <c r="I168" s="203"/>
      <c r="J168" s="214"/>
      <c r="K168" s="211">
        <f t="shared" si="27"/>
        <v>38.364</v>
      </c>
      <c r="L168" s="209">
        <v>38.364</v>
      </c>
      <c r="M168" s="209">
        <v>7.45</v>
      </c>
      <c r="N168" s="216"/>
      <c r="O168" s="347"/>
      <c r="P168" s="345"/>
      <c r="Q168" s="345"/>
      <c r="R168" s="344"/>
      <c r="S168" s="347"/>
      <c r="T168" s="345"/>
      <c r="U168" s="345"/>
      <c r="V168" s="344"/>
    </row>
    <row r="169" spans="1:22" ht="12.75">
      <c r="A169" s="342">
        <f t="shared" si="26"/>
        <v>161</v>
      </c>
      <c r="B169" s="206" t="s">
        <v>125</v>
      </c>
      <c r="C169" s="211">
        <f t="shared" si="28"/>
        <v>85.94</v>
      </c>
      <c r="D169" s="209">
        <f t="shared" si="28"/>
        <v>85.94</v>
      </c>
      <c r="E169" s="209">
        <f t="shared" si="28"/>
        <v>16.1</v>
      </c>
      <c r="F169" s="212"/>
      <c r="G169" s="207"/>
      <c r="H169" s="203"/>
      <c r="I169" s="203"/>
      <c r="J169" s="214"/>
      <c r="K169" s="211">
        <f t="shared" si="27"/>
        <v>85.94</v>
      </c>
      <c r="L169" s="209">
        <v>85.94</v>
      </c>
      <c r="M169" s="209">
        <v>16.1</v>
      </c>
      <c r="N169" s="216"/>
      <c r="O169" s="347"/>
      <c r="P169" s="345"/>
      <c r="Q169" s="345"/>
      <c r="R169" s="344"/>
      <c r="S169" s="347"/>
      <c r="T169" s="345"/>
      <c r="U169" s="345"/>
      <c r="V169" s="344"/>
    </row>
    <row r="170" spans="1:22" ht="12.75">
      <c r="A170" s="342">
        <f t="shared" si="26"/>
        <v>162</v>
      </c>
      <c r="B170" s="286" t="s">
        <v>462</v>
      </c>
      <c r="C170" s="211">
        <f t="shared" si="28"/>
        <v>174.6</v>
      </c>
      <c r="D170" s="209">
        <f t="shared" si="28"/>
        <v>174.6</v>
      </c>
      <c r="E170" s="209">
        <f t="shared" si="28"/>
        <v>133.303</v>
      </c>
      <c r="F170" s="212"/>
      <c r="G170" s="352"/>
      <c r="H170" s="345"/>
      <c r="I170" s="345"/>
      <c r="J170" s="352"/>
      <c r="K170" s="232">
        <f t="shared" si="27"/>
        <v>174.6</v>
      </c>
      <c r="L170" s="209">
        <f>L171</f>
        <v>174.6</v>
      </c>
      <c r="M170" s="209">
        <f>M171</f>
        <v>133.303</v>
      </c>
      <c r="N170" s="349"/>
      <c r="O170" s="354"/>
      <c r="P170" s="345"/>
      <c r="Q170" s="345"/>
      <c r="R170" s="349"/>
      <c r="S170" s="354"/>
      <c r="T170" s="345"/>
      <c r="U170" s="345"/>
      <c r="V170" s="349"/>
    </row>
    <row r="171" spans="1:22" ht="12.75">
      <c r="A171" s="342">
        <f t="shared" si="26"/>
        <v>163</v>
      </c>
      <c r="B171" s="242" t="s">
        <v>535</v>
      </c>
      <c r="C171" s="196">
        <f t="shared" si="28"/>
        <v>174.6</v>
      </c>
      <c r="D171" s="203">
        <f t="shared" si="28"/>
        <v>174.6</v>
      </c>
      <c r="E171" s="203">
        <f t="shared" si="28"/>
        <v>133.303</v>
      </c>
      <c r="F171" s="212"/>
      <c r="G171" s="352"/>
      <c r="H171" s="209"/>
      <c r="I171" s="209"/>
      <c r="J171" s="348"/>
      <c r="K171" s="408">
        <f t="shared" si="27"/>
        <v>174.6</v>
      </c>
      <c r="L171" s="203">
        <v>174.6</v>
      </c>
      <c r="M171" s="203">
        <v>133.303</v>
      </c>
      <c r="N171" s="349"/>
      <c r="O171" s="354"/>
      <c r="P171" s="345"/>
      <c r="Q171" s="345"/>
      <c r="R171" s="349"/>
      <c r="S171" s="354"/>
      <c r="T171" s="345"/>
      <c r="U171" s="345"/>
      <c r="V171" s="349"/>
    </row>
    <row r="172" spans="1:22" ht="12.75">
      <c r="A172" s="342">
        <f t="shared" si="26"/>
        <v>164</v>
      </c>
      <c r="B172" s="206" t="s">
        <v>268</v>
      </c>
      <c r="C172" s="211">
        <f t="shared" si="28"/>
        <v>46.300000000000004</v>
      </c>
      <c r="D172" s="209">
        <f t="shared" si="28"/>
        <v>46.300000000000004</v>
      </c>
      <c r="E172" s="209"/>
      <c r="F172" s="212"/>
      <c r="G172" s="348">
        <f>G173+G174</f>
        <v>46.300000000000004</v>
      </c>
      <c r="H172" s="209">
        <f>H173+H174</f>
        <v>46.300000000000004</v>
      </c>
      <c r="I172" s="345"/>
      <c r="J172" s="352"/>
      <c r="K172" s="354"/>
      <c r="L172" s="345"/>
      <c r="M172" s="345"/>
      <c r="N172" s="349"/>
      <c r="O172" s="354"/>
      <c r="P172" s="345"/>
      <c r="Q172" s="345"/>
      <c r="R172" s="349"/>
      <c r="S172" s="354"/>
      <c r="T172" s="345"/>
      <c r="U172" s="345"/>
      <c r="V172" s="349"/>
    </row>
    <row r="173" spans="1:22" ht="12.75">
      <c r="A173" s="342">
        <f t="shared" si="26"/>
        <v>165</v>
      </c>
      <c r="B173" s="370" t="s">
        <v>536</v>
      </c>
      <c r="C173" s="196">
        <f t="shared" si="28"/>
        <v>46.2</v>
      </c>
      <c r="D173" s="345">
        <f t="shared" si="28"/>
        <v>46.2</v>
      </c>
      <c r="E173" s="345"/>
      <c r="F173" s="344"/>
      <c r="G173" s="352">
        <f t="shared" si="24"/>
        <v>46.2</v>
      </c>
      <c r="H173" s="345">
        <v>46.2</v>
      </c>
      <c r="I173" s="345"/>
      <c r="J173" s="352"/>
      <c r="K173" s="354"/>
      <c r="L173" s="345"/>
      <c r="M173" s="345"/>
      <c r="N173" s="349"/>
      <c r="O173" s="354"/>
      <c r="P173" s="345"/>
      <c r="Q173" s="345"/>
      <c r="R173" s="349"/>
      <c r="S173" s="354"/>
      <c r="T173" s="345"/>
      <c r="U173" s="345"/>
      <c r="V173" s="349"/>
    </row>
    <row r="174" spans="1:22" ht="12.75">
      <c r="A174" s="342">
        <f t="shared" si="26"/>
        <v>166</v>
      </c>
      <c r="B174" s="242" t="s">
        <v>537</v>
      </c>
      <c r="C174" s="196">
        <f t="shared" si="28"/>
        <v>0.1</v>
      </c>
      <c r="D174" s="345">
        <f t="shared" si="28"/>
        <v>0.1</v>
      </c>
      <c r="E174" s="345"/>
      <c r="F174" s="344"/>
      <c r="G174" s="352">
        <f aca="true" t="shared" si="29" ref="G174:G209">H174+J174</f>
        <v>0.1</v>
      </c>
      <c r="H174" s="345">
        <v>0.1</v>
      </c>
      <c r="I174" s="345"/>
      <c r="J174" s="352"/>
      <c r="K174" s="354"/>
      <c r="L174" s="345"/>
      <c r="M174" s="345"/>
      <c r="N174" s="349"/>
      <c r="O174" s="354"/>
      <c r="P174" s="345"/>
      <c r="Q174" s="345"/>
      <c r="R174" s="349"/>
      <c r="S174" s="354"/>
      <c r="T174" s="345"/>
      <c r="U174" s="345"/>
      <c r="V174" s="349"/>
    </row>
    <row r="175" spans="1:22" ht="12.75">
      <c r="A175" s="342">
        <v>167</v>
      </c>
      <c r="B175" s="206" t="s">
        <v>115</v>
      </c>
      <c r="C175" s="211">
        <f t="shared" si="28"/>
        <v>248.5</v>
      </c>
      <c r="D175" s="209">
        <f t="shared" si="28"/>
        <v>248.5</v>
      </c>
      <c r="E175" s="209">
        <f>I175+M175+Q175+U175</f>
        <v>142.3</v>
      </c>
      <c r="F175" s="212"/>
      <c r="G175" s="207"/>
      <c r="H175" s="209"/>
      <c r="I175" s="209"/>
      <c r="J175" s="346"/>
      <c r="K175" s="232">
        <f>L175+N175</f>
        <v>113.5</v>
      </c>
      <c r="L175" s="209">
        <v>113.5</v>
      </c>
      <c r="M175" s="209">
        <v>65</v>
      </c>
      <c r="N175" s="344"/>
      <c r="O175" s="347"/>
      <c r="P175" s="345"/>
      <c r="Q175" s="345"/>
      <c r="R175" s="344"/>
      <c r="S175" s="211">
        <f>T175+V175</f>
        <v>135</v>
      </c>
      <c r="T175" s="209">
        <v>135</v>
      </c>
      <c r="U175" s="209">
        <v>77.3</v>
      </c>
      <c r="V175" s="344"/>
    </row>
    <row r="176" spans="1:22" ht="13.5" thickBot="1">
      <c r="A176" s="371">
        <f t="shared" si="26"/>
        <v>168</v>
      </c>
      <c r="B176" s="409" t="s">
        <v>538</v>
      </c>
      <c r="C176" s="268">
        <f t="shared" si="28"/>
        <v>135.7</v>
      </c>
      <c r="D176" s="392">
        <f t="shared" si="28"/>
        <v>135.7</v>
      </c>
      <c r="E176" s="392">
        <f>I176+M176+Q176+U176</f>
        <v>82.9</v>
      </c>
      <c r="F176" s="393"/>
      <c r="G176" s="410"/>
      <c r="H176" s="392"/>
      <c r="I176" s="392"/>
      <c r="J176" s="411"/>
      <c r="K176" s="408">
        <f>L176+N176</f>
        <v>62.4</v>
      </c>
      <c r="L176" s="392">
        <v>62.4</v>
      </c>
      <c r="M176" s="392">
        <v>38.1</v>
      </c>
      <c r="N176" s="393"/>
      <c r="O176" s="391"/>
      <c r="P176" s="392"/>
      <c r="Q176" s="392"/>
      <c r="R176" s="393"/>
      <c r="S176" s="196">
        <f>T176+V176</f>
        <v>73.3</v>
      </c>
      <c r="T176" s="392">
        <v>73.3</v>
      </c>
      <c r="U176" s="392">
        <v>44.8</v>
      </c>
      <c r="V176" s="393"/>
    </row>
    <row r="177" spans="1:22" ht="45.75" thickBot="1">
      <c r="A177" s="322">
        <f t="shared" si="26"/>
        <v>169</v>
      </c>
      <c r="B177" s="323" t="s">
        <v>539</v>
      </c>
      <c r="C177" s="315">
        <f aca="true" t="shared" si="30" ref="C177:L177">C178+C187+SUM(C189:C198)</f>
        <v>3468.3569999999995</v>
      </c>
      <c r="D177" s="309">
        <f t="shared" si="30"/>
        <v>1159.357</v>
      </c>
      <c r="E177" s="309">
        <f t="shared" si="30"/>
        <v>181.931</v>
      </c>
      <c r="F177" s="313">
        <f t="shared" si="30"/>
        <v>2309</v>
      </c>
      <c r="G177" s="324">
        <f t="shared" si="30"/>
        <v>1098.867</v>
      </c>
      <c r="H177" s="309">
        <f t="shared" si="30"/>
        <v>1048.867</v>
      </c>
      <c r="I177" s="309">
        <f>I178+I187+SUM(I189:I198)</f>
        <v>176.00300000000001</v>
      </c>
      <c r="J177" s="316">
        <f t="shared" si="30"/>
        <v>50</v>
      </c>
      <c r="K177" s="315">
        <f t="shared" si="30"/>
        <v>2266.2</v>
      </c>
      <c r="L177" s="309">
        <f t="shared" si="30"/>
        <v>12.2</v>
      </c>
      <c r="M177" s="309"/>
      <c r="N177" s="326">
        <f>N178+N187+SUM(N189:N198)</f>
        <v>2254</v>
      </c>
      <c r="O177" s="315"/>
      <c r="P177" s="309"/>
      <c r="Q177" s="309"/>
      <c r="R177" s="326"/>
      <c r="S177" s="315">
        <f>S178+S187+SUM(S189:S198)</f>
        <v>103.29</v>
      </c>
      <c r="T177" s="309">
        <f>T178+T187+SUM(T189:T198)</f>
        <v>98.29</v>
      </c>
      <c r="U177" s="309">
        <f>U178+U187+SUM(U189:U198)</f>
        <v>5.928</v>
      </c>
      <c r="V177" s="316">
        <f>V178+V187+SUM(V189:V198)</f>
        <v>5</v>
      </c>
    </row>
    <row r="178" spans="1:22" ht="12.75">
      <c r="A178" s="412">
        <f t="shared" si="26"/>
        <v>170</v>
      </c>
      <c r="B178" s="413" t="s">
        <v>471</v>
      </c>
      <c r="C178" s="382">
        <f>G178+K178+O178+S178</f>
        <v>2793.2999999999997</v>
      </c>
      <c r="D178" s="362">
        <f>H178+L178+P178+T178</f>
        <v>489.3</v>
      </c>
      <c r="E178" s="362"/>
      <c r="F178" s="365">
        <f>J178+N178+R178+V178</f>
        <v>2304</v>
      </c>
      <c r="G178" s="361">
        <f>G179+G181+G182+G183+G184+G185+G186</f>
        <v>527.1</v>
      </c>
      <c r="H178" s="362">
        <f>H179+H181+H182+H183+H184+H185+H186</f>
        <v>477.1</v>
      </c>
      <c r="I178" s="362"/>
      <c r="J178" s="414">
        <f>J179+J181</f>
        <v>50</v>
      </c>
      <c r="K178" s="361">
        <f>L178+N178</f>
        <v>2266.2</v>
      </c>
      <c r="L178" s="361">
        <f>L179+L182+L183</f>
        <v>12.2</v>
      </c>
      <c r="M178" s="361"/>
      <c r="N178" s="415">
        <f>N179+N182+N183</f>
        <v>2254</v>
      </c>
      <c r="O178" s="416"/>
      <c r="P178" s="417"/>
      <c r="Q178" s="417"/>
      <c r="R178" s="363"/>
      <c r="S178" s="383"/>
      <c r="T178" s="368"/>
      <c r="U178" s="368"/>
      <c r="V178" s="364"/>
    </row>
    <row r="179" spans="1:22" ht="12.75">
      <c r="A179" s="418">
        <f t="shared" si="26"/>
        <v>171</v>
      </c>
      <c r="B179" s="242" t="s">
        <v>540</v>
      </c>
      <c r="C179" s="196">
        <f>G179+K179+O179+S179</f>
        <v>2604</v>
      </c>
      <c r="D179" s="345">
        <f>H179</f>
        <v>350</v>
      </c>
      <c r="E179" s="345"/>
      <c r="F179" s="346">
        <f>J179+N179+R179+V179</f>
        <v>2254</v>
      </c>
      <c r="G179" s="347">
        <f t="shared" si="29"/>
        <v>350</v>
      </c>
      <c r="H179" s="203">
        <v>350</v>
      </c>
      <c r="I179" s="203"/>
      <c r="J179" s="216"/>
      <c r="K179" s="339">
        <f>L179+N179</f>
        <v>2254</v>
      </c>
      <c r="L179" s="345"/>
      <c r="M179" s="345"/>
      <c r="N179" s="344">
        <f>N180</f>
        <v>2254</v>
      </c>
      <c r="O179" s="347"/>
      <c r="P179" s="345"/>
      <c r="Q179" s="345"/>
      <c r="R179" s="344"/>
      <c r="S179" s="347"/>
      <c r="T179" s="345"/>
      <c r="U179" s="345"/>
      <c r="V179" s="344"/>
    </row>
    <row r="180" spans="1:22" ht="12.75">
      <c r="A180" s="418">
        <f t="shared" si="26"/>
        <v>172</v>
      </c>
      <c r="B180" s="242" t="s">
        <v>541</v>
      </c>
      <c r="C180" s="196">
        <f aca="true" t="shared" si="31" ref="C180:E210">G180+K180+O180+S180</f>
        <v>2254</v>
      </c>
      <c r="D180" s="345"/>
      <c r="E180" s="345"/>
      <c r="F180" s="346">
        <f>J180+N180+R180+V180</f>
        <v>2254</v>
      </c>
      <c r="G180" s="347"/>
      <c r="H180" s="203"/>
      <c r="I180" s="345"/>
      <c r="J180" s="344"/>
      <c r="K180" s="347">
        <f>L180+N180</f>
        <v>2254</v>
      </c>
      <c r="L180" s="345"/>
      <c r="M180" s="345"/>
      <c r="N180" s="344">
        <v>2254</v>
      </c>
      <c r="O180" s="347"/>
      <c r="P180" s="345"/>
      <c r="Q180" s="345"/>
      <c r="R180" s="344"/>
      <c r="S180" s="347"/>
      <c r="T180" s="345"/>
      <c r="U180" s="345"/>
      <c r="V180" s="344"/>
    </row>
    <row r="181" spans="1:22" ht="25.5">
      <c r="A181" s="418">
        <v>173</v>
      </c>
      <c r="B181" s="419" t="s">
        <v>542</v>
      </c>
      <c r="C181" s="408">
        <f t="shared" si="31"/>
        <v>50</v>
      </c>
      <c r="D181" s="203"/>
      <c r="E181" s="203"/>
      <c r="F181" s="346">
        <f>J181+N181+R181+V181</f>
        <v>50</v>
      </c>
      <c r="G181" s="347">
        <f t="shared" si="29"/>
        <v>50</v>
      </c>
      <c r="H181" s="203"/>
      <c r="I181" s="345"/>
      <c r="J181" s="113">
        <v>50</v>
      </c>
      <c r="K181" s="347"/>
      <c r="L181" s="345"/>
      <c r="M181" s="345"/>
      <c r="N181" s="344"/>
      <c r="O181" s="347"/>
      <c r="P181" s="345"/>
      <c r="Q181" s="345"/>
      <c r="R181" s="344"/>
      <c r="S181" s="347"/>
      <c r="T181" s="345"/>
      <c r="U181" s="345"/>
      <c r="V181" s="344"/>
    </row>
    <row r="182" spans="1:22" ht="12.75">
      <c r="A182" s="418">
        <f t="shared" si="26"/>
        <v>174</v>
      </c>
      <c r="B182" s="242" t="s">
        <v>543</v>
      </c>
      <c r="C182" s="196">
        <f t="shared" si="31"/>
        <v>16</v>
      </c>
      <c r="D182" s="345">
        <f t="shared" si="31"/>
        <v>16</v>
      </c>
      <c r="E182" s="345"/>
      <c r="F182" s="346"/>
      <c r="G182" s="347">
        <f t="shared" si="29"/>
        <v>16</v>
      </c>
      <c r="H182" s="345">
        <v>16</v>
      </c>
      <c r="I182" s="345"/>
      <c r="J182" s="344"/>
      <c r="K182" s="347"/>
      <c r="L182" s="345"/>
      <c r="M182" s="345"/>
      <c r="N182" s="344"/>
      <c r="O182" s="347"/>
      <c r="P182" s="345"/>
      <c r="Q182" s="345"/>
      <c r="R182" s="344"/>
      <c r="S182" s="347"/>
      <c r="T182" s="345"/>
      <c r="U182" s="345"/>
      <c r="V182" s="344"/>
    </row>
    <row r="183" spans="1:22" ht="12.75">
      <c r="A183" s="418">
        <f t="shared" si="26"/>
        <v>175</v>
      </c>
      <c r="B183" s="242" t="s">
        <v>535</v>
      </c>
      <c r="C183" s="196">
        <f t="shared" si="31"/>
        <v>12.2</v>
      </c>
      <c r="D183" s="345">
        <f t="shared" si="31"/>
        <v>12.2</v>
      </c>
      <c r="E183" s="345"/>
      <c r="F183" s="346"/>
      <c r="G183" s="347"/>
      <c r="H183" s="351"/>
      <c r="I183" s="351"/>
      <c r="J183" s="349"/>
      <c r="K183" s="347">
        <f>L183+N183</f>
        <v>12.2</v>
      </c>
      <c r="L183" s="351">
        <v>12.2</v>
      </c>
      <c r="M183" s="351"/>
      <c r="N183" s="349"/>
      <c r="O183" s="347"/>
      <c r="P183" s="351"/>
      <c r="Q183" s="351"/>
      <c r="R183" s="349"/>
      <c r="S183" s="347"/>
      <c r="T183" s="351"/>
      <c r="U183" s="351"/>
      <c r="V183" s="349"/>
    </row>
    <row r="184" spans="1:22" ht="12.75">
      <c r="A184" s="418">
        <v>176</v>
      </c>
      <c r="B184" s="242" t="s">
        <v>544</v>
      </c>
      <c r="C184" s="196">
        <f t="shared" si="31"/>
        <v>86.1</v>
      </c>
      <c r="D184" s="345">
        <f t="shared" si="31"/>
        <v>86.1</v>
      </c>
      <c r="E184" s="345"/>
      <c r="F184" s="346"/>
      <c r="G184" s="347">
        <f t="shared" si="29"/>
        <v>86.1</v>
      </c>
      <c r="H184" s="345">
        <v>86.1</v>
      </c>
      <c r="I184" s="351"/>
      <c r="J184" s="349"/>
      <c r="K184" s="354"/>
      <c r="L184" s="345"/>
      <c r="M184" s="351"/>
      <c r="N184" s="349"/>
      <c r="O184" s="354"/>
      <c r="P184" s="345"/>
      <c r="Q184" s="351"/>
      <c r="R184" s="349"/>
      <c r="S184" s="354"/>
      <c r="T184" s="345"/>
      <c r="U184" s="351"/>
      <c r="V184" s="349"/>
    </row>
    <row r="185" spans="1:22" ht="12.75">
      <c r="A185" s="418">
        <v>177</v>
      </c>
      <c r="B185" s="242" t="s">
        <v>545</v>
      </c>
      <c r="C185" s="196">
        <f t="shared" si="31"/>
        <v>15</v>
      </c>
      <c r="D185" s="345">
        <f t="shared" si="31"/>
        <v>15</v>
      </c>
      <c r="E185" s="345"/>
      <c r="F185" s="346"/>
      <c r="G185" s="354">
        <f t="shared" si="29"/>
        <v>15</v>
      </c>
      <c r="H185" s="345">
        <v>15</v>
      </c>
      <c r="I185" s="351"/>
      <c r="J185" s="349"/>
      <c r="K185" s="354"/>
      <c r="L185" s="345"/>
      <c r="M185" s="351"/>
      <c r="N185" s="349"/>
      <c r="O185" s="354"/>
      <c r="P185" s="345"/>
      <c r="Q185" s="351"/>
      <c r="R185" s="349"/>
      <c r="S185" s="354"/>
      <c r="T185" s="345"/>
      <c r="U185" s="351"/>
      <c r="V185" s="349"/>
    </row>
    <row r="186" spans="1:22" ht="12.75">
      <c r="A186" s="418">
        <v>178</v>
      </c>
      <c r="B186" s="242" t="s">
        <v>546</v>
      </c>
      <c r="C186" s="196">
        <f t="shared" si="31"/>
        <v>10</v>
      </c>
      <c r="D186" s="345">
        <f t="shared" si="31"/>
        <v>10</v>
      </c>
      <c r="E186" s="345"/>
      <c r="F186" s="346"/>
      <c r="G186" s="354">
        <f t="shared" si="29"/>
        <v>10</v>
      </c>
      <c r="H186" s="345">
        <v>10</v>
      </c>
      <c r="I186" s="351"/>
      <c r="J186" s="349"/>
      <c r="K186" s="354"/>
      <c r="L186" s="345"/>
      <c r="M186" s="351"/>
      <c r="N186" s="349"/>
      <c r="O186" s="354"/>
      <c r="P186" s="345"/>
      <c r="Q186" s="351"/>
      <c r="R186" s="349"/>
      <c r="S186" s="354"/>
      <c r="T186" s="345"/>
      <c r="U186" s="351"/>
      <c r="V186" s="349"/>
    </row>
    <row r="187" spans="1:22" ht="12.75">
      <c r="A187" s="418">
        <v>179</v>
      </c>
      <c r="B187" s="206" t="s">
        <v>476</v>
      </c>
      <c r="C187" s="211">
        <f t="shared" si="31"/>
        <v>28.1</v>
      </c>
      <c r="D187" s="209">
        <f>H187</f>
        <v>28.1</v>
      </c>
      <c r="E187" s="209"/>
      <c r="F187" s="210"/>
      <c r="G187" s="232">
        <f>G188</f>
        <v>28.1</v>
      </c>
      <c r="H187" s="209">
        <f>H188</f>
        <v>28.1</v>
      </c>
      <c r="I187" s="345"/>
      <c r="J187" s="349"/>
      <c r="K187" s="354"/>
      <c r="L187" s="345"/>
      <c r="M187" s="345"/>
      <c r="N187" s="349"/>
      <c r="O187" s="354"/>
      <c r="P187" s="345"/>
      <c r="Q187" s="345"/>
      <c r="R187" s="349"/>
      <c r="S187" s="354"/>
      <c r="T187" s="345"/>
      <c r="U187" s="345"/>
      <c r="V187" s="349"/>
    </row>
    <row r="188" spans="1:22" ht="12.75">
      <c r="A188" s="418">
        <f t="shared" si="26"/>
        <v>180</v>
      </c>
      <c r="B188" s="242" t="s">
        <v>547</v>
      </c>
      <c r="C188" s="196">
        <f t="shared" si="31"/>
        <v>28.1</v>
      </c>
      <c r="D188" s="345">
        <f t="shared" si="31"/>
        <v>28.1</v>
      </c>
      <c r="E188" s="345"/>
      <c r="F188" s="346"/>
      <c r="G188" s="354">
        <f t="shared" si="29"/>
        <v>28.1</v>
      </c>
      <c r="H188" s="345">
        <v>28.1</v>
      </c>
      <c r="I188" s="345"/>
      <c r="J188" s="349"/>
      <c r="K188" s="354"/>
      <c r="L188" s="345"/>
      <c r="M188" s="345"/>
      <c r="N188" s="349"/>
      <c r="O188" s="354"/>
      <c r="P188" s="345"/>
      <c r="Q188" s="345"/>
      <c r="R188" s="349"/>
      <c r="S188" s="354"/>
      <c r="T188" s="345"/>
      <c r="U188" s="345"/>
      <c r="V188" s="349"/>
    </row>
    <row r="189" spans="1:22" ht="12.75">
      <c r="A189" s="418">
        <v>181</v>
      </c>
      <c r="B189" s="206" t="s">
        <v>116</v>
      </c>
      <c r="C189" s="211">
        <f t="shared" si="31"/>
        <v>24.073</v>
      </c>
      <c r="D189" s="209">
        <f t="shared" si="31"/>
        <v>24.073</v>
      </c>
      <c r="E189" s="209">
        <f t="shared" si="31"/>
        <v>13.496</v>
      </c>
      <c r="F189" s="210"/>
      <c r="G189" s="211">
        <f t="shared" si="29"/>
        <v>23.973</v>
      </c>
      <c r="H189" s="209">
        <v>23.973</v>
      </c>
      <c r="I189" s="209">
        <v>13.496</v>
      </c>
      <c r="J189" s="216"/>
      <c r="K189" s="211"/>
      <c r="L189" s="345"/>
      <c r="M189" s="345"/>
      <c r="N189" s="344"/>
      <c r="O189" s="347"/>
      <c r="P189" s="345"/>
      <c r="Q189" s="345"/>
      <c r="R189" s="344"/>
      <c r="S189" s="211">
        <f>T189+V189</f>
        <v>0.1</v>
      </c>
      <c r="T189" s="209">
        <v>0.1</v>
      </c>
      <c r="U189" s="209"/>
      <c r="V189" s="212"/>
    </row>
    <row r="190" spans="1:22" ht="12.75">
      <c r="A190" s="418">
        <f t="shared" si="26"/>
        <v>182</v>
      </c>
      <c r="B190" s="206" t="s">
        <v>117</v>
      </c>
      <c r="C190" s="211">
        <f t="shared" si="31"/>
        <v>19.83</v>
      </c>
      <c r="D190" s="209">
        <f t="shared" si="31"/>
        <v>19.83</v>
      </c>
      <c r="E190" s="209">
        <f t="shared" si="31"/>
        <v>11.652</v>
      </c>
      <c r="F190" s="210"/>
      <c r="G190" s="211">
        <f t="shared" si="29"/>
        <v>19.83</v>
      </c>
      <c r="H190" s="209">
        <v>19.83</v>
      </c>
      <c r="I190" s="209">
        <v>11.652</v>
      </c>
      <c r="J190" s="216"/>
      <c r="K190" s="211"/>
      <c r="L190" s="345"/>
      <c r="M190" s="345"/>
      <c r="N190" s="344"/>
      <c r="O190" s="347"/>
      <c r="P190" s="345"/>
      <c r="Q190" s="345"/>
      <c r="R190" s="344"/>
      <c r="S190" s="211"/>
      <c r="T190" s="209"/>
      <c r="U190" s="209"/>
      <c r="V190" s="212"/>
    </row>
    <row r="191" spans="1:22" ht="12.75">
      <c r="A191" s="418">
        <f t="shared" si="26"/>
        <v>183</v>
      </c>
      <c r="B191" s="206" t="s">
        <v>118</v>
      </c>
      <c r="C191" s="211">
        <f t="shared" si="31"/>
        <v>59.065</v>
      </c>
      <c r="D191" s="209">
        <f t="shared" si="31"/>
        <v>59.065</v>
      </c>
      <c r="E191" s="209">
        <f t="shared" si="31"/>
        <v>33.661</v>
      </c>
      <c r="F191" s="210"/>
      <c r="G191" s="211">
        <f t="shared" si="29"/>
        <v>57.065</v>
      </c>
      <c r="H191" s="209">
        <v>57.065</v>
      </c>
      <c r="I191" s="209">
        <v>33.661</v>
      </c>
      <c r="J191" s="212"/>
      <c r="K191" s="211"/>
      <c r="L191" s="345"/>
      <c r="M191" s="345"/>
      <c r="N191" s="344"/>
      <c r="O191" s="347"/>
      <c r="P191" s="345"/>
      <c r="Q191" s="345"/>
      <c r="R191" s="344"/>
      <c r="S191" s="211">
        <f>T191+V191</f>
        <v>2</v>
      </c>
      <c r="T191" s="209">
        <v>2</v>
      </c>
      <c r="U191" s="209"/>
      <c r="V191" s="212"/>
    </row>
    <row r="192" spans="1:22" ht="12.75">
      <c r="A192" s="418">
        <f t="shared" si="26"/>
        <v>184</v>
      </c>
      <c r="B192" s="206" t="s">
        <v>119</v>
      </c>
      <c r="C192" s="211">
        <f t="shared" si="31"/>
        <v>13.167</v>
      </c>
      <c r="D192" s="209">
        <f t="shared" si="31"/>
        <v>13.167</v>
      </c>
      <c r="E192" s="209">
        <f t="shared" si="31"/>
        <v>8.869</v>
      </c>
      <c r="F192" s="210"/>
      <c r="G192" s="211">
        <f t="shared" si="29"/>
        <v>13.167</v>
      </c>
      <c r="H192" s="209">
        <v>13.167</v>
      </c>
      <c r="I192" s="209">
        <v>8.869</v>
      </c>
      <c r="J192" s="212"/>
      <c r="K192" s="211"/>
      <c r="L192" s="345"/>
      <c r="M192" s="345"/>
      <c r="N192" s="344"/>
      <c r="O192" s="347"/>
      <c r="P192" s="345"/>
      <c r="Q192" s="345"/>
      <c r="R192" s="344"/>
      <c r="S192" s="211"/>
      <c r="T192" s="209"/>
      <c r="U192" s="209"/>
      <c r="V192" s="212"/>
    </row>
    <row r="193" spans="1:22" ht="12.75">
      <c r="A193" s="418">
        <f t="shared" si="26"/>
        <v>185</v>
      </c>
      <c r="B193" s="206" t="s">
        <v>120</v>
      </c>
      <c r="C193" s="211">
        <f t="shared" si="31"/>
        <v>21.543</v>
      </c>
      <c r="D193" s="209">
        <f t="shared" si="31"/>
        <v>21.543</v>
      </c>
      <c r="E193" s="209">
        <f t="shared" si="31"/>
        <v>12.447</v>
      </c>
      <c r="F193" s="210"/>
      <c r="G193" s="211">
        <f t="shared" si="29"/>
        <v>21.543</v>
      </c>
      <c r="H193" s="209">
        <v>21.543</v>
      </c>
      <c r="I193" s="209">
        <v>12.447</v>
      </c>
      <c r="J193" s="212"/>
      <c r="K193" s="211"/>
      <c r="L193" s="345"/>
      <c r="M193" s="345"/>
      <c r="N193" s="344"/>
      <c r="O193" s="347"/>
      <c r="P193" s="345"/>
      <c r="Q193" s="345"/>
      <c r="R193" s="344"/>
      <c r="S193" s="211"/>
      <c r="T193" s="209"/>
      <c r="U193" s="209"/>
      <c r="V193" s="212"/>
    </row>
    <row r="194" spans="1:22" ht="12.75">
      <c r="A194" s="418">
        <f t="shared" si="26"/>
        <v>186</v>
      </c>
      <c r="B194" s="206" t="s">
        <v>121</v>
      </c>
      <c r="C194" s="211">
        <f t="shared" si="31"/>
        <v>56.178</v>
      </c>
      <c r="D194" s="209">
        <f t="shared" si="31"/>
        <v>56.178</v>
      </c>
      <c r="E194" s="209">
        <f t="shared" si="31"/>
        <v>30.108</v>
      </c>
      <c r="F194" s="210"/>
      <c r="G194" s="211">
        <f t="shared" si="29"/>
        <v>56.178</v>
      </c>
      <c r="H194" s="209">
        <v>56.178</v>
      </c>
      <c r="I194" s="209">
        <v>30.108</v>
      </c>
      <c r="J194" s="212"/>
      <c r="K194" s="211"/>
      <c r="L194" s="345"/>
      <c r="M194" s="345"/>
      <c r="N194" s="344"/>
      <c r="O194" s="347"/>
      <c r="P194" s="345"/>
      <c r="Q194" s="345"/>
      <c r="R194" s="344"/>
      <c r="S194" s="211"/>
      <c r="T194" s="209"/>
      <c r="U194" s="209"/>
      <c r="V194" s="212"/>
    </row>
    <row r="195" spans="1:22" ht="12.75">
      <c r="A195" s="418">
        <f t="shared" si="26"/>
        <v>187</v>
      </c>
      <c r="B195" s="206" t="s">
        <v>122</v>
      </c>
      <c r="C195" s="211">
        <f t="shared" si="31"/>
        <v>56.907</v>
      </c>
      <c r="D195" s="209">
        <f t="shared" si="31"/>
        <v>56.907</v>
      </c>
      <c r="E195" s="209">
        <f t="shared" si="31"/>
        <v>32.536</v>
      </c>
      <c r="F195" s="210"/>
      <c r="G195" s="211">
        <f t="shared" si="29"/>
        <v>56.147</v>
      </c>
      <c r="H195" s="209">
        <v>56.147</v>
      </c>
      <c r="I195" s="209">
        <v>32.536</v>
      </c>
      <c r="J195" s="212"/>
      <c r="K195" s="211"/>
      <c r="L195" s="345"/>
      <c r="M195" s="345"/>
      <c r="N195" s="344"/>
      <c r="O195" s="347"/>
      <c r="P195" s="345"/>
      <c r="Q195" s="345"/>
      <c r="R195" s="344"/>
      <c r="S195" s="211">
        <f>T195+V195</f>
        <v>0.76</v>
      </c>
      <c r="T195" s="209">
        <v>0.76</v>
      </c>
      <c r="U195" s="209"/>
      <c r="V195" s="212"/>
    </row>
    <row r="196" spans="1:22" ht="12.75">
      <c r="A196" s="418">
        <f t="shared" si="26"/>
        <v>188</v>
      </c>
      <c r="B196" s="206" t="s">
        <v>123</v>
      </c>
      <c r="C196" s="211">
        <f t="shared" si="31"/>
        <v>21.06</v>
      </c>
      <c r="D196" s="209">
        <f t="shared" si="31"/>
        <v>21.06</v>
      </c>
      <c r="E196" s="209">
        <f t="shared" si="31"/>
        <v>14</v>
      </c>
      <c r="F196" s="210"/>
      <c r="G196" s="211">
        <f t="shared" si="29"/>
        <v>21.06</v>
      </c>
      <c r="H196" s="209">
        <v>21.06</v>
      </c>
      <c r="I196" s="209">
        <v>14</v>
      </c>
      <c r="J196" s="212"/>
      <c r="K196" s="211"/>
      <c r="L196" s="345"/>
      <c r="M196" s="345"/>
      <c r="N196" s="344"/>
      <c r="O196" s="347"/>
      <c r="P196" s="345"/>
      <c r="Q196" s="345"/>
      <c r="R196" s="344"/>
      <c r="S196" s="211"/>
      <c r="T196" s="209"/>
      <c r="U196" s="209"/>
      <c r="V196" s="212"/>
    </row>
    <row r="197" spans="1:22" ht="12.75">
      <c r="A197" s="418">
        <f t="shared" si="26"/>
        <v>189</v>
      </c>
      <c r="B197" s="206" t="s">
        <v>180</v>
      </c>
      <c r="C197" s="211">
        <f t="shared" si="31"/>
        <v>37.295</v>
      </c>
      <c r="D197" s="209">
        <f t="shared" si="31"/>
        <v>37.295</v>
      </c>
      <c r="E197" s="209">
        <f t="shared" si="31"/>
        <v>19.234</v>
      </c>
      <c r="F197" s="210"/>
      <c r="G197" s="211">
        <f t="shared" si="29"/>
        <v>37.295</v>
      </c>
      <c r="H197" s="209">
        <v>37.295</v>
      </c>
      <c r="I197" s="209">
        <v>19.234</v>
      </c>
      <c r="J197" s="212"/>
      <c r="K197" s="211"/>
      <c r="L197" s="345"/>
      <c r="M197" s="345"/>
      <c r="N197" s="344"/>
      <c r="O197" s="347"/>
      <c r="P197" s="345"/>
      <c r="Q197" s="345"/>
      <c r="R197" s="344"/>
      <c r="S197" s="211"/>
      <c r="T197" s="209"/>
      <c r="U197" s="209"/>
      <c r="V197" s="212"/>
    </row>
    <row r="198" spans="1:22" ht="13.5" thickBot="1">
      <c r="A198" s="420">
        <f t="shared" si="26"/>
        <v>190</v>
      </c>
      <c r="B198" s="206" t="s">
        <v>125</v>
      </c>
      <c r="C198" s="211">
        <f t="shared" si="31"/>
        <v>337.839</v>
      </c>
      <c r="D198" s="209">
        <f t="shared" si="31"/>
        <v>332.839</v>
      </c>
      <c r="E198" s="209">
        <f>I198+M198+Q198+U198</f>
        <v>5.928</v>
      </c>
      <c r="F198" s="210">
        <f>J198+N198+R198+V198</f>
        <v>5</v>
      </c>
      <c r="G198" s="292">
        <f t="shared" si="29"/>
        <v>237.409</v>
      </c>
      <c r="H198" s="290">
        <v>237.409</v>
      </c>
      <c r="I198" s="290"/>
      <c r="J198" s="296"/>
      <c r="K198" s="211"/>
      <c r="L198" s="345"/>
      <c r="M198" s="345"/>
      <c r="N198" s="344"/>
      <c r="O198" s="347"/>
      <c r="P198" s="345"/>
      <c r="Q198" s="345"/>
      <c r="R198" s="344"/>
      <c r="S198" s="292">
        <f>T198+V198</f>
        <v>100.43</v>
      </c>
      <c r="T198" s="290">
        <v>95.43</v>
      </c>
      <c r="U198" s="290">
        <v>5.928</v>
      </c>
      <c r="V198" s="296">
        <v>5</v>
      </c>
    </row>
    <row r="199" spans="1:22" ht="45.75" thickBot="1">
      <c r="A199" s="322">
        <v>191</v>
      </c>
      <c r="B199" s="323" t="s">
        <v>548</v>
      </c>
      <c r="C199" s="324">
        <f t="shared" si="31"/>
        <v>456.8</v>
      </c>
      <c r="D199" s="309">
        <f t="shared" si="31"/>
        <v>456.8</v>
      </c>
      <c r="E199" s="309"/>
      <c r="F199" s="316"/>
      <c r="G199" s="324">
        <f>G200+G202+G205+G208</f>
        <v>200.8</v>
      </c>
      <c r="H199" s="309">
        <f>H200+H202+H205+H208</f>
        <v>200.8</v>
      </c>
      <c r="I199" s="309"/>
      <c r="J199" s="316"/>
      <c r="K199" s="325">
        <f>K203</f>
        <v>256</v>
      </c>
      <c r="L199" s="309">
        <f>L203</f>
        <v>256</v>
      </c>
      <c r="M199" s="309"/>
      <c r="N199" s="316"/>
      <c r="O199" s="324"/>
      <c r="P199" s="309"/>
      <c r="Q199" s="309"/>
      <c r="R199" s="316"/>
      <c r="S199" s="309"/>
      <c r="T199" s="309"/>
      <c r="U199" s="309"/>
      <c r="V199" s="316"/>
    </row>
    <row r="200" spans="1:22" ht="12.75">
      <c r="A200" s="327">
        <v>192</v>
      </c>
      <c r="B200" s="341" t="s">
        <v>473</v>
      </c>
      <c r="C200" s="336">
        <f t="shared" si="31"/>
        <v>35.9</v>
      </c>
      <c r="D200" s="334">
        <f t="shared" si="31"/>
        <v>35.9</v>
      </c>
      <c r="E200" s="334"/>
      <c r="F200" s="337"/>
      <c r="G200" s="338">
        <f>G201</f>
        <v>35.9</v>
      </c>
      <c r="H200" s="334">
        <f>H201</f>
        <v>35.9</v>
      </c>
      <c r="I200" s="368"/>
      <c r="J200" s="360"/>
      <c r="K200" s="421"/>
      <c r="L200" s="368"/>
      <c r="M200" s="368"/>
      <c r="N200" s="422"/>
      <c r="O200" s="421"/>
      <c r="P200" s="368"/>
      <c r="Q200" s="368"/>
      <c r="R200" s="422"/>
      <c r="S200" s="421"/>
      <c r="T200" s="368"/>
      <c r="U200" s="368"/>
      <c r="V200" s="422"/>
    </row>
    <row r="201" spans="1:22" ht="12.75">
      <c r="A201" s="342">
        <f t="shared" si="26"/>
        <v>193</v>
      </c>
      <c r="B201" s="242" t="s">
        <v>549</v>
      </c>
      <c r="C201" s="196">
        <f t="shared" si="31"/>
        <v>35.9</v>
      </c>
      <c r="D201" s="345">
        <f t="shared" si="31"/>
        <v>35.9</v>
      </c>
      <c r="E201" s="345"/>
      <c r="F201" s="344"/>
      <c r="G201" s="351">
        <f t="shared" si="29"/>
        <v>35.9</v>
      </c>
      <c r="H201" s="346">
        <v>35.9</v>
      </c>
      <c r="I201" s="345"/>
      <c r="J201" s="346"/>
      <c r="K201" s="347"/>
      <c r="L201" s="345"/>
      <c r="M201" s="345"/>
      <c r="N201" s="344"/>
      <c r="O201" s="347"/>
      <c r="P201" s="345"/>
      <c r="Q201" s="345"/>
      <c r="R201" s="344"/>
      <c r="S201" s="347"/>
      <c r="T201" s="345"/>
      <c r="U201" s="345"/>
      <c r="V201" s="344"/>
    </row>
    <row r="202" spans="1:22" ht="12.75">
      <c r="A202" s="342">
        <f t="shared" si="26"/>
        <v>194</v>
      </c>
      <c r="B202" s="206" t="s">
        <v>550</v>
      </c>
      <c r="C202" s="211">
        <f t="shared" si="31"/>
        <v>268.1</v>
      </c>
      <c r="D202" s="209">
        <f t="shared" si="31"/>
        <v>268.1</v>
      </c>
      <c r="E202" s="209"/>
      <c r="F202" s="212"/>
      <c r="G202" s="348">
        <f>G204</f>
        <v>12.1</v>
      </c>
      <c r="H202" s="209">
        <f>H204</f>
        <v>12.1</v>
      </c>
      <c r="I202" s="345"/>
      <c r="J202" s="346"/>
      <c r="K202" s="232">
        <f>K203</f>
        <v>256</v>
      </c>
      <c r="L202" s="209">
        <f>L203</f>
        <v>256</v>
      </c>
      <c r="M202" s="345"/>
      <c r="N202" s="344"/>
      <c r="O202" s="347"/>
      <c r="P202" s="345"/>
      <c r="Q202" s="345"/>
      <c r="R202" s="344"/>
      <c r="S202" s="347"/>
      <c r="T202" s="345"/>
      <c r="U202" s="345"/>
      <c r="V202" s="344"/>
    </row>
    <row r="203" spans="1:22" ht="12.75">
      <c r="A203" s="342">
        <f t="shared" si="26"/>
        <v>195</v>
      </c>
      <c r="B203" s="242" t="s">
        <v>551</v>
      </c>
      <c r="C203" s="196">
        <f t="shared" si="31"/>
        <v>256</v>
      </c>
      <c r="D203" s="203">
        <f t="shared" si="31"/>
        <v>256</v>
      </c>
      <c r="E203" s="209"/>
      <c r="F203" s="212"/>
      <c r="G203" s="207"/>
      <c r="H203" s="348"/>
      <c r="I203" s="345"/>
      <c r="J203" s="346"/>
      <c r="K203" s="347">
        <f>L203+N203</f>
        <v>256</v>
      </c>
      <c r="L203" s="345">
        <v>256</v>
      </c>
      <c r="M203" s="345"/>
      <c r="N203" s="344"/>
      <c r="O203" s="347"/>
      <c r="P203" s="345"/>
      <c r="Q203" s="345"/>
      <c r="R203" s="344"/>
      <c r="S203" s="347"/>
      <c r="T203" s="345"/>
      <c r="U203" s="345"/>
      <c r="V203" s="344"/>
    </row>
    <row r="204" spans="1:22" ht="12.75">
      <c r="A204" s="342">
        <f t="shared" si="26"/>
        <v>196</v>
      </c>
      <c r="B204" s="242" t="s">
        <v>552</v>
      </c>
      <c r="C204" s="196">
        <f t="shared" si="31"/>
        <v>12.1</v>
      </c>
      <c r="D204" s="345">
        <f t="shared" si="31"/>
        <v>12.1</v>
      </c>
      <c r="E204" s="345"/>
      <c r="F204" s="344"/>
      <c r="G204" s="351">
        <f t="shared" si="29"/>
        <v>12.1</v>
      </c>
      <c r="H204" s="346">
        <v>12.1</v>
      </c>
      <c r="I204" s="345"/>
      <c r="J204" s="346"/>
      <c r="K204" s="347"/>
      <c r="L204" s="345"/>
      <c r="M204" s="345"/>
      <c r="N204" s="344"/>
      <c r="O204" s="347"/>
      <c r="P204" s="345"/>
      <c r="Q204" s="345"/>
      <c r="R204" s="344"/>
      <c r="S204" s="347"/>
      <c r="T204" s="345"/>
      <c r="U204" s="345"/>
      <c r="V204" s="344"/>
    </row>
    <row r="205" spans="1:22" ht="12.75">
      <c r="A205" s="342">
        <v>197</v>
      </c>
      <c r="B205" s="206" t="s">
        <v>476</v>
      </c>
      <c r="C205" s="211">
        <f t="shared" si="31"/>
        <v>144.9</v>
      </c>
      <c r="D205" s="209">
        <f t="shared" si="31"/>
        <v>144.9</v>
      </c>
      <c r="E205" s="209"/>
      <c r="F205" s="212"/>
      <c r="G205" s="348">
        <f t="shared" si="29"/>
        <v>144.9</v>
      </c>
      <c r="H205" s="209">
        <f>H206+H207</f>
        <v>144.9</v>
      </c>
      <c r="I205" s="345"/>
      <c r="J205" s="346"/>
      <c r="K205" s="347"/>
      <c r="L205" s="345"/>
      <c r="M205" s="345"/>
      <c r="N205" s="344"/>
      <c r="O205" s="347"/>
      <c r="P205" s="345"/>
      <c r="Q205" s="345"/>
      <c r="R205" s="344"/>
      <c r="S205" s="232"/>
      <c r="T205" s="209"/>
      <c r="U205" s="345"/>
      <c r="V205" s="344"/>
    </row>
    <row r="206" spans="1:22" ht="25.5">
      <c r="A206" s="342">
        <f t="shared" si="26"/>
        <v>198</v>
      </c>
      <c r="B206" s="355" t="s">
        <v>553</v>
      </c>
      <c r="C206" s="196">
        <f t="shared" si="31"/>
        <v>14.9</v>
      </c>
      <c r="D206" s="203">
        <f t="shared" si="31"/>
        <v>14.9</v>
      </c>
      <c r="E206" s="269"/>
      <c r="F206" s="270"/>
      <c r="G206" s="194">
        <f t="shared" si="29"/>
        <v>14.9</v>
      </c>
      <c r="H206" s="423">
        <v>14.9</v>
      </c>
      <c r="I206" s="392"/>
      <c r="J206" s="411"/>
      <c r="K206" s="391"/>
      <c r="L206" s="392"/>
      <c r="M206" s="392"/>
      <c r="N206" s="393"/>
      <c r="O206" s="391"/>
      <c r="P206" s="392"/>
      <c r="Q206" s="392"/>
      <c r="R206" s="393"/>
      <c r="S206" s="391"/>
      <c r="T206" s="392"/>
      <c r="U206" s="392"/>
      <c r="V206" s="393"/>
    </row>
    <row r="207" spans="1:22" ht="12.75">
      <c r="A207" s="342">
        <f t="shared" si="26"/>
        <v>199</v>
      </c>
      <c r="B207" s="206" t="s">
        <v>554</v>
      </c>
      <c r="C207" s="196">
        <f t="shared" si="31"/>
        <v>130</v>
      </c>
      <c r="D207" s="203">
        <f t="shared" si="31"/>
        <v>130</v>
      </c>
      <c r="E207" s="263"/>
      <c r="F207" s="266"/>
      <c r="G207" s="351">
        <f t="shared" si="29"/>
        <v>130</v>
      </c>
      <c r="H207" s="269">
        <v>130</v>
      </c>
      <c r="I207" s="392"/>
      <c r="J207" s="411"/>
      <c r="K207" s="391"/>
      <c r="L207" s="392"/>
      <c r="M207" s="392"/>
      <c r="N207" s="393"/>
      <c r="O207" s="391"/>
      <c r="P207" s="392"/>
      <c r="Q207" s="392"/>
      <c r="R207" s="393"/>
      <c r="S207" s="203"/>
      <c r="T207" s="392"/>
      <c r="U207" s="392"/>
      <c r="V207" s="393"/>
    </row>
    <row r="208" spans="1:22" ht="12.75">
      <c r="A208" s="342">
        <v>200</v>
      </c>
      <c r="B208" s="206" t="s">
        <v>268</v>
      </c>
      <c r="C208" s="211">
        <f t="shared" si="31"/>
        <v>7.9</v>
      </c>
      <c r="D208" s="209">
        <f t="shared" si="31"/>
        <v>7.9</v>
      </c>
      <c r="E208" s="263"/>
      <c r="F208" s="266"/>
      <c r="G208" s="207">
        <f t="shared" si="29"/>
        <v>7.9</v>
      </c>
      <c r="H208" s="263">
        <f>H209</f>
        <v>7.9</v>
      </c>
      <c r="I208" s="392"/>
      <c r="J208" s="424"/>
      <c r="K208" s="425"/>
      <c r="L208" s="392"/>
      <c r="M208" s="392"/>
      <c r="N208" s="426"/>
      <c r="O208" s="391"/>
      <c r="P208" s="392"/>
      <c r="Q208" s="392"/>
      <c r="R208" s="426"/>
      <c r="S208" s="425"/>
      <c r="T208" s="392"/>
      <c r="U208" s="392"/>
      <c r="V208" s="426"/>
    </row>
    <row r="209" spans="1:22" ht="13.5" thickBot="1">
      <c r="A209" s="371">
        <v>201</v>
      </c>
      <c r="B209" s="387" t="s">
        <v>555</v>
      </c>
      <c r="C209" s="268">
        <f t="shared" si="31"/>
        <v>7.9</v>
      </c>
      <c r="D209" s="269">
        <f t="shared" si="31"/>
        <v>7.9</v>
      </c>
      <c r="E209" s="263"/>
      <c r="F209" s="266"/>
      <c r="G209" s="410">
        <f t="shared" si="29"/>
        <v>7.9</v>
      </c>
      <c r="H209" s="269">
        <v>7.9</v>
      </c>
      <c r="I209" s="392"/>
      <c r="J209" s="424"/>
      <c r="K209" s="425"/>
      <c r="L209" s="392"/>
      <c r="M209" s="392"/>
      <c r="N209" s="426"/>
      <c r="O209" s="391"/>
      <c r="P209" s="392"/>
      <c r="Q209" s="392"/>
      <c r="R209" s="426"/>
      <c r="S209" s="425"/>
      <c r="T209" s="392"/>
      <c r="U209" s="392"/>
      <c r="V209" s="426"/>
    </row>
    <row r="210" spans="1:22" ht="13.5" thickBot="1">
      <c r="A210" s="322">
        <v>202</v>
      </c>
      <c r="B210" s="427" t="s">
        <v>556</v>
      </c>
      <c r="C210" s="377">
        <f t="shared" si="31"/>
        <v>26296.594</v>
      </c>
      <c r="D210" s="378">
        <f t="shared" si="31"/>
        <v>23886.494000000006</v>
      </c>
      <c r="E210" s="309">
        <f>I210+M210+Q210+U210</f>
        <v>12367.246000000001</v>
      </c>
      <c r="F210" s="312">
        <f>J210+N210+R210+V210</f>
        <v>2410.1</v>
      </c>
      <c r="G210" s="378">
        <f>G9+G44+G100+G141+G177+G199</f>
        <v>14140.000000000002</v>
      </c>
      <c r="H210" s="378">
        <f>H9+H44+H100+H141+H177+H199</f>
        <v>14016.300000000001</v>
      </c>
      <c r="I210" s="309">
        <f>I9+I44+I100+I141+I177+I199</f>
        <v>6423.064</v>
      </c>
      <c r="J210" s="378">
        <f>J9+J44+J100+J141+J177+J199</f>
        <v>123.7</v>
      </c>
      <c r="K210" s="315">
        <f>K9+K44+K100+K141+K177+K199</f>
        <v>5003.733</v>
      </c>
      <c r="L210" s="309">
        <f>L9+L44+L141+L177+L199</f>
        <v>2749.733</v>
      </c>
      <c r="M210" s="309">
        <f>M9+M44+M141+M177+M199</f>
        <v>1244.4160000000002</v>
      </c>
      <c r="N210" s="326">
        <f>N9+N44+N100+N141+N177+N199</f>
        <v>2254</v>
      </c>
      <c r="O210" s="324">
        <f>O9+O44+O100+O141+O177+O199</f>
        <v>6120.4000000000015</v>
      </c>
      <c r="P210" s="309">
        <f>P9+P44+P100+P141+P177+P199</f>
        <v>6120.4000000000015</v>
      </c>
      <c r="Q210" s="309">
        <f>Q9+Q44+Q100+Q141+Q177+Q199</f>
        <v>4552.236</v>
      </c>
      <c r="R210" s="309"/>
      <c r="S210" s="317">
        <f>S9+S44+S100+S141+S177+S199</f>
        <v>1032.461</v>
      </c>
      <c r="T210" s="378">
        <f>T9+T44+T100+T141+T177+T199</f>
        <v>1000.0609999999999</v>
      </c>
      <c r="U210" s="378">
        <f>U9+U44+U100+U141+U177+U199</f>
        <v>147.53</v>
      </c>
      <c r="V210" s="316">
        <f>V9+V20+SUM(V34:V43)+V44+V100+V141+V177+V199</f>
        <v>32.4</v>
      </c>
    </row>
    <row r="213" ht="12.75">
      <c r="B213" s="14" t="s">
        <v>454</v>
      </c>
    </row>
    <row r="214" ht="12.75">
      <c r="B214" s="14" t="s">
        <v>455</v>
      </c>
    </row>
    <row r="215" ht="12.75">
      <c r="B215" s="318" t="s">
        <v>456</v>
      </c>
    </row>
    <row r="216" ht="12.75">
      <c r="B216" s="14" t="s">
        <v>457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5905511811023623" header="0.5118110236220472" footer="0.5118110236220472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5">
      <selection activeCell="H19" sqref="H19"/>
    </sheetView>
  </sheetViews>
  <sheetFormatPr defaultColWidth="9.140625" defaultRowHeight="12.75"/>
  <cols>
    <col min="1" max="1" width="4.140625" style="0" customWidth="1"/>
    <col min="2" max="2" width="52.421875" style="0" customWidth="1"/>
    <col min="3" max="3" width="19.00390625" style="0" customWidth="1"/>
    <col min="4" max="4" width="15.00390625" style="0" customWidth="1"/>
    <col min="5" max="5" width="15.7109375" style="0" customWidth="1"/>
  </cols>
  <sheetData>
    <row r="1" ht="12.75">
      <c r="D1" s="131" t="s">
        <v>177</v>
      </c>
    </row>
    <row r="2" spans="4:6" ht="12.75">
      <c r="D2" s="122" t="s">
        <v>316</v>
      </c>
      <c r="E2" s="12"/>
      <c r="F2" s="13"/>
    </row>
    <row r="3" ht="12.75">
      <c r="D3" s="131" t="s">
        <v>249</v>
      </c>
    </row>
    <row r="5" ht="12.75">
      <c r="B5" s="14" t="s">
        <v>323</v>
      </c>
    </row>
    <row r="6" ht="13.5" thickBot="1">
      <c r="D6" t="s">
        <v>262</v>
      </c>
    </row>
    <row r="7" spans="1:5" ht="12.75">
      <c r="A7" s="132"/>
      <c r="B7" s="133" t="s">
        <v>207</v>
      </c>
      <c r="C7" s="134" t="s">
        <v>208</v>
      </c>
      <c r="D7" s="134" t="s">
        <v>304</v>
      </c>
      <c r="E7" s="135" t="s">
        <v>324</v>
      </c>
    </row>
    <row r="8" spans="1:5" ht="13.5" thickBot="1">
      <c r="A8" s="136">
        <v>1</v>
      </c>
      <c r="B8" s="137">
        <v>2</v>
      </c>
      <c r="C8" s="138">
        <v>3</v>
      </c>
      <c r="D8" s="139">
        <v>4</v>
      </c>
      <c r="E8" s="140">
        <v>5</v>
      </c>
    </row>
    <row r="9" spans="1:5" ht="12.75">
      <c r="A9" s="141"/>
      <c r="B9" s="46" t="s">
        <v>209</v>
      </c>
      <c r="C9" s="35" t="s">
        <v>178</v>
      </c>
      <c r="D9" s="142">
        <v>0.5</v>
      </c>
      <c r="E9" s="143"/>
    </row>
    <row r="10" spans="1:5" ht="12.75">
      <c r="A10" s="144"/>
      <c r="B10" s="47" t="s">
        <v>79</v>
      </c>
      <c r="C10" s="37" t="s">
        <v>178</v>
      </c>
      <c r="D10" s="145">
        <v>26.4</v>
      </c>
      <c r="E10" s="146">
        <v>18.6</v>
      </c>
    </row>
    <row r="11" spans="1:5" ht="12.75">
      <c r="A11" s="144"/>
      <c r="B11" s="47" t="s">
        <v>210</v>
      </c>
      <c r="C11" s="37" t="s">
        <v>178</v>
      </c>
      <c r="D11" s="145">
        <v>13.933</v>
      </c>
      <c r="E11" s="146">
        <v>9.5</v>
      </c>
    </row>
    <row r="12" spans="1:5" ht="12.75">
      <c r="A12" s="144"/>
      <c r="B12" s="47" t="s">
        <v>211</v>
      </c>
      <c r="C12" s="37" t="s">
        <v>178</v>
      </c>
      <c r="D12" s="145">
        <v>8.8</v>
      </c>
      <c r="E12" s="146">
        <v>6.72</v>
      </c>
    </row>
    <row r="13" spans="1:5" ht="12.75">
      <c r="A13" s="144"/>
      <c r="B13" s="47" t="s">
        <v>98</v>
      </c>
      <c r="C13" s="37" t="s">
        <v>178</v>
      </c>
      <c r="D13" s="145">
        <v>26</v>
      </c>
      <c r="E13" s="146">
        <v>16.7</v>
      </c>
    </row>
    <row r="14" spans="1:5" ht="12.75">
      <c r="A14" s="144"/>
      <c r="B14" s="47" t="s">
        <v>212</v>
      </c>
      <c r="C14" s="37" t="s">
        <v>178</v>
      </c>
      <c r="D14" s="145">
        <v>7.3</v>
      </c>
      <c r="E14" s="146">
        <v>5</v>
      </c>
    </row>
    <row r="15" spans="1:5" ht="12.75">
      <c r="A15" s="144"/>
      <c r="B15" s="47" t="s">
        <v>213</v>
      </c>
      <c r="C15" s="37" t="s">
        <v>178</v>
      </c>
      <c r="D15" s="145">
        <v>62.2</v>
      </c>
      <c r="E15" s="146">
        <v>41.2</v>
      </c>
    </row>
    <row r="16" spans="1:5" ht="12.75">
      <c r="A16" s="144"/>
      <c r="B16" s="47" t="s">
        <v>214</v>
      </c>
      <c r="C16" s="37" t="s">
        <v>178</v>
      </c>
      <c r="D16" s="145">
        <v>14.3</v>
      </c>
      <c r="E16" s="146">
        <v>9.8</v>
      </c>
    </row>
    <row r="17" spans="1:5" ht="12.75">
      <c r="A17" s="144"/>
      <c r="B17" s="47" t="s">
        <v>215</v>
      </c>
      <c r="C17" s="37"/>
      <c r="D17" s="145">
        <f>D18+D19+D20</f>
        <v>198.99999999999997</v>
      </c>
      <c r="E17" s="146">
        <f>E18+E19+E20</f>
        <v>139.103</v>
      </c>
    </row>
    <row r="18" spans="1:5" ht="12.75">
      <c r="A18" s="144"/>
      <c r="B18" s="48" t="s">
        <v>216</v>
      </c>
      <c r="C18" s="27" t="s">
        <v>178</v>
      </c>
      <c r="D18" s="147">
        <v>174.6</v>
      </c>
      <c r="E18" s="113">
        <v>133.303</v>
      </c>
    </row>
    <row r="19" spans="1:5" ht="12.75">
      <c r="A19" s="144"/>
      <c r="B19" s="48" t="s">
        <v>217</v>
      </c>
      <c r="C19" s="27" t="s">
        <v>178</v>
      </c>
      <c r="D19" s="147">
        <v>12.2</v>
      </c>
      <c r="E19" s="113">
        <v>5.8</v>
      </c>
    </row>
    <row r="20" spans="1:5" ht="12.75">
      <c r="A20" s="144"/>
      <c r="B20" s="48" t="s">
        <v>218</v>
      </c>
      <c r="C20" s="27" t="s">
        <v>219</v>
      </c>
      <c r="D20" s="147">
        <v>12.2</v>
      </c>
      <c r="E20" s="148"/>
    </row>
    <row r="21" spans="1:5" ht="12.75">
      <c r="A21" s="144"/>
      <c r="B21" s="47" t="s">
        <v>220</v>
      </c>
      <c r="C21" s="37" t="s">
        <v>178</v>
      </c>
      <c r="D21" s="145">
        <v>11.8</v>
      </c>
      <c r="E21" s="146">
        <v>7</v>
      </c>
    </row>
    <row r="22" spans="1:5" ht="12.75">
      <c r="A22" s="144"/>
      <c r="B22" s="47" t="s">
        <v>221</v>
      </c>
      <c r="C22" s="37" t="s">
        <v>178</v>
      </c>
      <c r="D22" s="145">
        <v>0.6</v>
      </c>
      <c r="E22" s="149"/>
    </row>
    <row r="23" spans="1:5" ht="12.75">
      <c r="A23" s="144"/>
      <c r="B23" s="47" t="s">
        <v>222</v>
      </c>
      <c r="C23" s="37"/>
      <c r="D23" s="145">
        <f>D24+D25+D26</f>
        <v>290.2</v>
      </c>
      <c r="E23" s="146">
        <f>E24+E25+E26</f>
        <v>5.4</v>
      </c>
    </row>
    <row r="24" spans="1:5" ht="12.75">
      <c r="A24" s="144"/>
      <c r="B24" s="48" t="s">
        <v>223</v>
      </c>
      <c r="C24" s="27" t="s">
        <v>224</v>
      </c>
      <c r="D24" s="147">
        <v>279</v>
      </c>
      <c r="E24" s="113"/>
    </row>
    <row r="25" spans="1:5" ht="12.75">
      <c r="A25" s="144"/>
      <c r="B25" s="48" t="s">
        <v>225</v>
      </c>
      <c r="C25" s="27" t="s">
        <v>178</v>
      </c>
      <c r="D25" s="147">
        <v>8</v>
      </c>
      <c r="E25" s="113">
        <v>5.4</v>
      </c>
    </row>
    <row r="26" spans="1:5" ht="12.75">
      <c r="A26" s="144"/>
      <c r="B26" s="48" t="s">
        <v>226</v>
      </c>
      <c r="C26" s="27" t="s">
        <v>227</v>
      </c>
      <c r="D26" s="147">
        <v>3.2</v>
      </c>
      <c r="E26" s="148"/>
    </row>
    <row r="27" spans="1:5" ht="12.75">
      <c r="A27" s="144"/>
      <c r="B27" s="47" t="s">
        <v>228</v>
      </c>
      <c r="C27" s="27"/>
      <c r="D27" s="145">
        <f>D28+D30+D29</f>
        <v>300.00000000000006</v>
      </c>
      <c r="E27" s="146">
        <f>E29+E30</f>
        <v>116.16000000000001</v>
      </c>
    </row>
    <row r="28" spans="1:5" ht="12.75">
      <c r="A28" s="144"/>
      <c r="B28" s="48" t="s">
        <v>229</v>
      </c>
      <c r="C28" s="27" t="s">
        <v>224</v>
      </c>
      <c r="D28" s="147">
        <v>139.8</v>
      </c>
      <c r="E28" s="148"/>
    </row>
    <row r="29" spans="1:5" ht="13.5" thickBot="1">
      <c r="A29" s="144"/>
      <c r="B29" s="49" t="s">
        <v>225</v>
      </c>
      <c r="C29" s="40" t="s">
        <v>178</v>
      </c>
      <c r="D29" s="150">
        <v>5.6</v>
      </c>
      <c r="E29" s="151">
        <v>3</v>
      </c>
    </row>
    <row r="30" spans="1:5" ht="12.75">
      <c r="A30" s="144"/>
      <c r="B30" s="152" t="s">
        <v>230</v>
      </c>
      <c r="C30" s="153"/>
      <c r="D30" s="154">
        <f>SUM(D31:D41)</f>
        <v>154.60000000000002</v>
      </c>
      <c r="E30" s="155">
        <f>SUM(E31:E41)</f>
        <v>113.16000000000001</v>
      </c>
    </row>
    <row r="31" spans="1:5" ht="12.75">
      <c r="A31" s="144"/>
      <c r="B31" s="64" t="s">
        <v>267</v>
      </c>
      <c r="C31" s="43" t="s">
        <v>231</v>
      </c>
      <c r="D31" s="156">
        <v>9.9</v>
      </c>
      <c r="E31" s="157">
        <v>7.03</v>
      </c>
    </row>
    <row r="32" spans="1:6" ht="12.75">
      <c r="A32" s="144"/>
      <c r="B32" s="48"/>
      <c r="C32" s="43" t="s">
        <v>232</v>
      </c>
      <c r="D32" s="156">
        <v>10.1</v>
      </c>
      <c r="E32" s="157">
        <v>7.26</v>
      </c>
      <c r="F32" s="52"/>
    </row>
    <row r="33" spans="1:5" ht="12.75">
      <c r="A33" s="144"/>
      <c r="B33" s="48"/>
      <c r="C33" s="43" t="s">
        <v>233</v>
      </c>
      <c r="D33" s="156">
        <v>10.35</v>
      </c>
      <c r="E33" s="157">
        <v>7.45</v>
      </c>
    </row>
    <row r="34" spans="1:5" ht="12.75">
      <c r="A34" s="144"/>
      <c r="B34" s="48"/>
      <c r="C34" s="43" t="s">
        <v>234</v>
      </c>
      <c r="D34" s="156">
        <v>2.65</v>
      </c>
      <c r="E34" s="157">
        <v>1.76</v>
      </c>
    </row>
    <row r="35" spans="1:5" ht="12.75">
      <c r="A35" s="144"/>
      <c r="B35" s="48"/>
      <c r="C35" s="43" t="s">
        <v>235</v>
      </c>
      <c r="D35" s="156">
        <v>7.75</v>
      </c>
      <c r="E35" s="157">
        <v>5.59</v>
      </c>
    </row>
    <row r="36" spans="1:5" ht="12.75">
      <c r="A36" s="144"/>
      <c r="B36" s="48"/>
      <c r="C36" s="43" t="s">
        <v>236</v>
      </c>
      <c r="D36" s="156">
        <v>10.45</v>
      </c>
      <c r="E36" s="157">
        <v>7.45</v>
      </c>
    </row>
    <row r="37" spans="1:5" ht="12.75">
      <c r="A37" s="144"/>
      <c r="B37" s="48"/>
      <c r="C37" s="43" t="s">
        <v>237</v>
      </c>
      <c r="D37" s="156">
        <v>10.45</v>
      </c>
      <c r="E37" s="157">
        <v>7.45</v>
      </c>
    </row>
    <row r="38" spans="1:5" ht="12.75">
      <c r="A38" s="144"/>
      <c r="B38" s="48"/>
      <c r="C38" s="43" t="s">
        <v>238</v>
      </c>
      <c r="D38" s="156">
        <v>10.15</v>
      </c>
      <c r="E38" s="157">
        <v>7.45</v>
      </c>
    </row>
    <row r="39" spans="1:5" ht="12.75">
      <c r="A39" s="144"/>
      <c r="B39" s="48"/>
      <c r="C39" s="43" t="s">
        <v>239</v>
      </c>
      <c r="D39" s="156">
        <v>10.7</v>
      </c>
      <c r="E39" s="157">
        <v>7.45</v>
      </c>
    </row>
    <row r="40" spans="1:5" ht="12.75">
      <c r="A40" s="144"/>
      <c r="B40" s="48"/>
      <c r="C40" s="43" t="s">
        <v>240</v>
      </c>
      <c r="D40" s="156">
        <v>22.1</v>
      </c>
      <c r="E40" s="157">
        <v>16.1</v>
      </c>
    </row>
    <row r="41" spans="1:5" ht="12.75">
      <c r="A41" s="144"/>
      <c r="B41" s="158"/>
      <c r="C41" s="159"/>
      <c r="D41" s="160">
        <v>50</v>
      </c>
      <c r="E41" s="161">
        <v>38.17</v>
      </c>
    </row>
    <row r="42" spans="1:5" ht="12.75">
      <c r="A42" s="144"/>
      <c r="B42" s="46" t="s">
        <v>241</v>
      </c>
      <c r="C42" s="42"/>
      <c r="D42" s="142">
        <f>D43+D44</f>
        <v>201.2</v>
      </c>
      <c r="E42" s="162">
        <f>E43+E44</f>
        <v>3</v>
      </c>
    </row>
    <row r="43" spans="1:5" ht="12.75">
      <c r="A43" s="144"/>
      <c r="B43" s="48" t="s">
        <v>242</v>
      </c>
      <c r="C43" s="27" t="s">
        <v>178</v>
      </c>
      <c r="D43" s="38">
        <v>4.816</v>
      </c>
      <c r="E43" s="113">
        <v>3</v>
      </c>
    </row>
    <row r="44" spans="1:5" ht="12.75">
      <c r="A44" s="144"/>
      <c r="B44" s="48" t="s">
        <v>325</v>
      </c>
      <c r="C44" s="27"/>
      <c r="D44" s="38">
        <f>SUM(D45:D54)</f>
        <v>196.384</v>
      </c>
      <c r="E44" s="39"/>
    </row>
    <row r="45" spans="1:5" ht="12.75">
      <c r="A45" s="144"/>
      <c r="B45" s="64" t="s">
        <v>266</v>
      </c>
      <c r="C45" s="43" t="s">
        <v>231</v>
      </c>
      <c r="D45" s="41">
        <v>23.104</v>
      </c>
      <c r="E45" s="39"/>
    </row>
    <row r="46" spans="1:5" ht="12.75">
      <c r="A46" s="144"/>
      <c r="B46" s="48"/>
      <c r="C46" s="43" t="s">
        <v>232</v>
      </c>
      <c r="D46" s="41">
        <v>11.552</v>
      </c>
      <c r="E46" s="39"/>
    </row>
    <row r="47" spans="1:5" ht="12.75">
      <c r="A47" s="144"/>
      <c r="B47" s="48"/>
      <c r="C47" s="43" t="s">
        <v>233</v>
      </c>
      <c r="D47" s="41">
        <v>11.552</v>
      </c>
      <c r="E47" s="39"/>
    </row>
    <row r="48" spans="1:5" ht="12.75">
      <c r="A48" s="144"/>
      <c r="B48" s="48"/>
      <c r="C48" s="43" t="s">
        <v>234</v>
      </c>
      <c r="D48" s="41">
        <v>5.168</v>
      </c>
      <c r="E48" s="39"/>
    </row>
    <row r="49" spans="1:5" ht="12.75">
      <c r="A49" s="144"/>
      <c r="B49" s="48"/>
      <c r="C49" s="43" t="s">
        <v>235</v>
      </c>
      <c r="D49" s="41">
        <v>8.816</v>
      </c>
      <c r="E49" s="39"/>
    </row>
    <row r="50" spans="1:5" ht="12.75">
      <c r="A50" s="144"/>
      <c r="B50" s="48"/>
      <c r="C50" s="43" t="s">
        <v>236</v>
      </c>
      <c r="D50" s="156">
        <v>19.76</v>
      </c>
      <c r="E50" s="39"/>
    </row>
    <row r="51" spans="1:5" ht="12.75">
      <c r="A51" s="144"/>
      <c r="B51" s="48"/>
      <c r="C51" s="43" t="s">
        <v>237</v>
      </c>
      <c r="D51" s="41">
        <v>17.024</v>
      </c>
      <c r="E51" s="39"/>
    </row>
    <row r="52" spans="1:5" ht="12.75">
      <c r="A52" s="144"/>
      <c r="B52" s="48"/>
      <c r="C52" s="43" t="s">
        <v>238</v>
      </c>
      <c r="D52" s="41">
        <v>7.904</v>
      </c>
      <c r="E52" s="39"/>
    </row>
    <row r="53" spans="1:5" ht="12.75">
      <c r="A53" s="144"/>
      <c r="B53" s="48"/>
      <c r="C53" s="43" t="s">
        <v>239</v>
      </c>
      <c r="D53" s="41">
        <v>27.664</v>
      </c>
      <c r="E53" s="39"/>
    </row>
    <row r="54" spans="1:5" ht="12.75">
      <c r="A54" s="144"/>
      <c r="B54" s="48"/>
      <c r="C54" s="43" t="s">
        <v>240</v>
      </c>
      <c r="D54" s="156">
        <v>63.84</v>
      </c>
      <c r="E54" s="39"/>
    </row>
    <row r="55" spans="1:5" ht="12.75">
      <c r="A55" s="144"/>
      <c r="B55" s="47" t="s">
        <v>308</v>
      </c>
      <c r="C55" s="37" t="s">
        <v>224</v>
      </c>
      <c r="D55" s="145">
        <v>3.6</v>
      </c>
      <c r="E55" s="105">
        <v>2.749</v>
      </c>
    </row>
    <row r="56" spans="1:5" ht="12.75">
      <c r="A56" s="144"/>
      <c r="B56" s="48"/>
      <c r="C56" s="27"/>
      <c r="D56" s="38"/>
      <c r="E56" s="39"/>
    </row>
    <row r="57" spans="1:5" ht="12.75">
      <c r="A57" s="144"/>
      <c r="B57" s="47" t="s">
        <v>83</v>
      </c>
      <c r="C57" s="37"/>
      <c r="D57" s="145">
        <f>SUM(D58:D67)</f>
        <v>9.8</v>
      </c>
      <c r="E57" s="105">
        <f>SUM(E58:E67)</f>
        <v>1.2</v>
      </c>
    </row>
    <row r="58" spans="1:5" ht="12.75">
      <c r="A58" s="144"/>
      <c r="B58" s="64" t="s">
        <v>265</v>
      </c>
      <c r="C58" s="27" t="s">
        <v>231</v>
      </c>
      <c r="D58" s="147">
        <v>0.9</v>
      </c>
      <c r="E58" s="39"/>
    </row>
    <row r="59" spans="1:5" ht="12.75">
      <c r="A59" s="144"/>
      <c r="B59" s="48"/>
      <c r="C59" s="27" t="s">
        <v>232</v>
      </c>
      <c r="D59" s="147">
        <v>0.9</v>
      </c>
      <c r="E59" s="39"/>
    </row>
    <row r="60" spans="1:5" ht="12.75">
      <c r="A60" s="144"/>
      <c r="B60" s="48"/>
      <c r="C60" s="27" t="s">
        <v>233</v>
      </c>
      <c r="D60" s="147">
        <v>0.9</v>
      </c>
      <c r="E60" s="39"/>
    </row>
    <row r="61" spans="1:5" ht="12.75">
      <c r="A61" s="144"/>
      <c r="B61" s="48"/>
      <c r="C61" s="27" t="s">
        <v>234</v>
      </c>
      <c r="D61" s="147">
        <v>0.9</v>
      </c>
      <c r="E61" s="39"/>
    </row>
    <row r="62" spans="1:5" ht="12.75">
      <c r="A62" s="144"/>
      <c r="B62" s="48"/>
      <c r="C62" s="27" t="s">
        <v>235</v>
      </c>
      <c r="D62" s="147">
        <v>0.9</v>
      </c>
      <c r="E62" s="39"/>
    </row>
    <row r="63" spans="1:5" ht="12.75">
      <c r="A63" s="144"/>
      <c r="B63" s="48"/>
      <c r="C63" s="27" t="s">
        <v>236</v>
      </c>
      <c r="D63" s="147">
        <v>0.9</v>
      </c>
      <c r="E63" s="39"/>
    </row>
    <row r="64" spans="1:5" ht="12.75">
      <c r="A64" s="144"/>
      <c r="B64" s="48"/>
      <c r="C64" s="27" t="s">
        <v>237</v>
      </c>
      <c r="D64" s="147">
        <v>0.9</v>
      </c>
      <c r="E64" s="39"/>
    </row>
    <row r="65" spans="1:5" ht="12.75">
      <c r="A65" s="144"/>
      <c r="B65" s="48"/>
      <c r="C65" s="27" t="s">
        <v>238</v>
      </c>
      <c r="D65" s="147">
        <v>0.9</v>
      </c>
      <c r="E65" s="39"/>
    </row>
    <row r="66" spans="1:5" ht="12.75">
      <c r="A66" s="144"/>
      <c r="B66" s="48"/>
      <c r="C66" s="27" t="s">
        <v>239</v>
      </c>
      <c r="D66" s="147">
        <v>0.9</v>
      </c>
      <c r="E66" s="39"/>
    </row>
    <row r="67" spans="1:5" ht="12.75">
      <c r="A67" s="144"/>
      <c r="B67" s="48"/>
      <c r="C67" s="27" t="s">
        <v>240</v>
      </c>
      <c r="D67" s="147">
        <v>1.7</v>
      </c>
      <c r="E67" s="163">
        <v>1.2</v>
      </c>
    </row>
    <row r="68" spans="1:5" ht="12.75">
      <c r="A68" s="144"/>
      <c r="B68" s="47" t="s">
        <v>243</v>
      </c>
      <c r="C68" s="37"/>
      <c r="D68" s="164">
        <f>D69+D70+D81</f>
        <v>448.5</v>
      </c>
      <c r="E68" s="105">
        <f>E69+E70</f>
        <v>122.72</v>
      </c>
    </row>
    <row r="69" spans="1:5" ht="12.75">
      <c r="A69" s="144"/>
      <c r="B69" s="48" t="s">
        <v>244</v>
      </c>
      <c r="C69" s="27" t="s">
        <v>245</v>
      </c>
      <c r="D69" s="165">
        <v>256</v>
      </c>
      <c r="E69" s="39"/>
    </row>
    <row r="70" spans="1:5" ht="12.75">
      <c r="A70" s="144"/>
      <c r="B70" s="48" t="s">
        <v>246</v>
      </c>
      <c r="C70" s="27"/>
      <c r="D70" s="164">
        <f>SUM(D71:D80)</f>
        <v>191.8</v>
      </c>
      <c r="E70" s="105">
        <f>SUM(E71:E80)</f>
        <v>122.72</v>
      </c>
    </row>
    <row r="71" spans="1:5" ht="12.75">
      <c r="A71" s="144"/>
      <c r="B71" s="64" t="s">
        <v>264</v>
      </c>
      <c r="C71" s="43" t="s">
        <v>231</v>
      </c>
      <c r="D71" s="156">
        <v>8.2</v>
      </c>
      <c r="E71" s="157">
        <v>5.82</v>
      </c>
    </row>
    <row r="72" spans="1:5" ht="12.75">
      <c r="A72" s="144"/>
      <c r="B72" s="48"/>
      <c r="C72" s="43" t="s">
        <v>232</v>
      </c>
      <c r="D72" s="156">
        <v>8.1</v>
      </c>
      <c r="E72" s="157">
        <v>5.82</v>
      </c>
    </row>
    <row r="73" spans="1:5" ht="12.75">
      <c r="A73" s="144"/>
      <c r="B73" s="48"/>
      <c r="C73" s="43" t="s">
        <v>233</v>
      </c>
      <c r="D73" s="156">
        <v>8.1</v>
      </c>
      <c r="E73" s="157">
        <v>5.82</v>
      </c>
    </row>
    <row r="74" spans="1:5" ht="12.75">
      <c r="A74" s="144"/>
      <c r="B74" s="48"/>
      <c r="C74" s="43" t="s">
        <v>234</v>
      </c>
      <c r="D74" s="156">
        <v>6.6</v>
      </c>
      <c r="E74" s="157">
        <v>4.87</v>
      </c>
    </row>
    <row r="75" spans="1:5" ht="12.75">
      <c r="A75" s="144"/>
      <c r="B75" s="48"/>
      <c r="C75" s="43" t="s">
        <v>235</v>
      </c>
      <c r="D75" s="156">
        <v>6.2</v>
      </c>
      <c r="E75" s="157">
        <v>4.48</v>
      </c>
    </row>
    <row r="76" spans="1:5" ht="12.75">
      <c r="A76" s="144"/>
      <c r="B76" s="48"/>
      <c r="C76" s="43" t="s">
        <v>236</v>
      </c>
      <c r="D76" s="166">
        <v>9</v>
      </c>
      <c r="E76" s="157">
        <v>6.37</v>
      </c>
    </row>
    <row r="77" spans="1:5" ht="12.75">
      <c r="A77" s="144"/>
      <c r="B77" s="48"/>
      <c r="C77" s="43" t="s">
        <v>237</v>
      </c>
      <c r="D77" s="166">
        <v>8.3</v>
      </c>
      <c r="E77" s="157">
        <v>5.82</v>
      </c>
    </row>
    <row r="78" spans="1:5" ht="12.75">
      <c r="A78" s="144"/>
      <c r="B78" s="48"/>
      <c r="C78" s="43" t="s">
        <v>238</v>
      </c>
      <c r="D78" s="156">
        <v>6.4</v>
      </c>
      <c r="E78" s="157">
        <v>4.68</v>
      </c>
    </row>
    <row r="79" spans="1:5" ht="12.75">
      <c r="A79" s="144"/>
      <c r="B79" s="48"/>
      <c r="C79" s="43" t="s">
        <v>239</v>
      </c>
      <c r="D79" s="156">
        <v>9.3</v>
      </c>
      <c r="E79" s="157">
        <v>6.54</v>
      </c>
    </row>
    <row r="80" spans="1:5" ht="12.75">
      <c r="A80" s="144"/>
      <c r="B80" s="48"/>
      <c r="C80" s="43" t="s">
        <v>247</v>
      </c>
      <c r="D80" s="156">
        <v>121.6</v>
      </c>
      <c r="E80" s="157">
        <v>72.5</v>
      </c>
    </row>
    <row r="81" spans="1:5" ht="25.5">
      <c r="A81" s="144"/>
      <c r="B81" s="106" t="s">
        <v>263</v>
      </c>
      <c r="C81" s="43" t="s">
        <v>178</v>
      </c>
      <c r="D81" s="167">
        <v>0.7</v>
      </c>
      <c r="E81" s="168"/>
    </row>
    <row r="82" spans="1:5" ht="12.75">
      <c r="A82" s="144"/>
      <c r="B82" s="47" t="s">
        <v>84</v>
      </c>
      <c r="C82" s="37" t="s">
        <v>326</v>
      </c>
      <c r="D82" s="145">
        <v>657.6</v>
      </c>
      <c r="E82" s="36">
        <v>468.428</v>
      </c>
    </row>
    <row r="83" spans="1:5" ht="13.5" thickBot="1">
      <c r="A83" s="144"/>
      <c r="B83" s="50" t="s">
        <v>248</v>
      </c>
      <c r="C83" s="44" t="s">
        <v>327</v>
      </c>
      <c r="D83" s="169">
        <v>113.5</v>
      </c>
      <c r="E83" s="170">
        <v>65</v>
      </c>
    </row>
    <row r="84" spans="1:5" ht="16.5" thickBot="1">
      <c r="A84" s="136"/>
      <c r="B84" s="51" t="s">
        <v>328</v>
      </c>
      <c r="C84" s="45"/>
      <c r="D84" s="107">
        <f>SUM(D9:D17)+D21+D22+D23+D27+D42+D55+D57+D68+D82+D83</f>
        <v>2395.233</v>
      </c>
      <c r="E84" s="171">
        <f>SUM(E9:E17)+E21+E22+E23+E27+E42+E55+E57+E68+E82+E83</f>
        <v>1038.28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zoomScalePageLayoutView="0" workbookViewId="0" topLeftCell="A1">
      <selection activeCell="F2" sqref="F2:H4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3" width="10.421875" style="0" customWidth="1"/>
    <col min="4" max="4" width="8.140625" style="0" customWidth="1"/>
    <col min="5" max="5" width="9.8515625" style="0" customWidth="1"/>
    <col min="6" max="6" width="10.00390625" style="0" customWidth="1"/>
    <col min="7" max="7" width="8.57421875" style="0" customWidth="1"/>
    <col min="8" max="8" width="9.57421875" style="0" bestFit="1" customWidth="1"/>
  </cols>
  <sheetData>
    <row r="2" spans="2:6" ht="15.75">
      <c r="B2" s="2"/>
      <c r="C2" s="2"/>
      <c r="D2" s="2"/>
      <c r="E2" s="2"/>
      <c r="F2" s="175" t="s">
        <v>177</v>
      </c>
    </row>
    <row r="3" spans="6:7" ht="12.75">
      <c r="F3" s="122" t="s">
        <v>316</v>
      </c>
      <c r="G3" s="12"/>
    </row>
    <row r="4" spans="2:6" ht="15.75">
      <c r="B4" s="1"/>
      <c r="C4" s="1"/>
      <c r="D4" s="1"/>
      <c r="E4" s="1"/>
      <c r="F4" s="175" t="s">
        <v>253</v>
      </c>
    </row>
    <row r="5" spans="2:5" ht="15.75">
      <c r="B5" s="1"/>
      <c r="C5" s="1"/>
      <c r="D5" s="1"/>
      <c r="E5" s="1"/>
    </row>
    <row r="6" spans="2:5" ht="15.75">
      <c r="B6" s="3" t="s">
        <v>255</v>
      </c>
      <c r="C6" s="3"/>
      <c r="D6" s="3"/>
      <c r="E6" s="3"/>
    </row>
    <row r="7" spans="2:5" ht="15.75">
      <c r="B7" s="3" t="s">
        <v>557</v>
      </c>
      <c r="C7" s="3"/>
      <c r="D7" s="3"/>
      <c r="E7" s="3"/>
    </row>
    <row r="9" spans="2:5" ht="12.75">
      <c r="B9" s="428"/>
      <c r="C9" s="428"/>
      <c r="D9" s="428"/>
      <c r="E9" s="428"/>
    </row>
    <row r="10" spans="2:5" ht="12.75">
      <c r="B10" s="429"/>
      <c r="C10" s="429"/>
      <c r="D10" s="429"/>
      <c r="E10" s="429"/>
    </row>
    <row r="11" spans="2:6" ht="13.5" thickBot="1">
      <c r="B11" s="429"/>
      <c r="C11" s="429"/>
      <c r="D11" s="429"/>
      <c r="E11" s="429"/>
      <c r="F11" t="s">
        <v>198</v>
      </c>
    </row>
    <row r="12" spans="1:7" ht="12.75">
      <c r="A12" s="587" t="s">
        <v>558</v>
      </c>
      <c r="B12" s="590" t="s">
        <v>191</v>
      </c>
      <c r="C12" s="593" t="s">
        <v>251</v>
      </c>
      <c r="D12" s="584" t="s">
        <v>624</v>
      </c>
      <c r="E12" s="593" t="s">
        <v>318</v>
      </c>
      <c r="F12" s="596" t="s">
        <v>252</v>
      </c>
      <c r="G12" s="584" t="s">
        <v>624</v>
      </c>
    </row>
    <row r="13" spans="1:7" ht="12.75">
      <c r="A13" s="588"/>
      <c r="B13" s="591"/>
      <c r="C13" s="594"/>
      <c r="D13" s="585"/>
      <c r="E13" s="594"/>
      <c r="F13" s="597"/>
      <c r="G13" s="585"/>
    </row>
    <row r="14" spans="1:7" ht="33.75" customHeight="1" thickBot="1">
      <c r="A14" s="589"/>
      <c r="B14" s="592"/>
      <c r="C14" s="595"/>
      <c r="D14" s="586"/>
      <c r="E14" s="595"/>
      <c r="F14" s="598"/>
      <c r="G14" s="586"/>
    </row>
    <row r="15" spans="1:7" ht="12.75">
      <c r="A15" s="141" t="s">
        <v>7</v>
      </c>
      <c r="B15" s="489" t="s">
        <v>178</v>
      </c>
      <c r="C15" s="490"/>
      <c r="D15" s="492"/>
      <c r="E15" s="490"/>
      <c r="F15" s="491">
        <v>36900</v>
      </c>
      <c r="G15" s="499">
        <v>13495.45</v>
      </c>
    </row>
    <row r="16" spans="1:7" ht="24">
      <c r="A16" s="22" t="s">
        <v>9</v>
      </c>
      <c r="B16" s="114" t="s">
        <v>559</v>
      </c>
      <c r="C16" s="53">
        <v>14129.35</v>
      </c>
      <c r="D16" s="493"/>
      <c r="E16" s="53"/>
      <c r="F16" s="486"/>
      <c r="G16" s="15"/>
    </row>
    <row r="17" spans="1:7" ht="12.75">
      <c r="A17" s="22" t="s">
        <v>11</v>
      </c>
      <c r="B17" s="430" t="s">
        <v>466</v>
      </c>
      <c r="C17" s="53"/>
      <c r="D17" s="493"/>
      <c r="E17" s="53"/>
      <c r="F17" s="486">
        <v>400</v>
      </c>
      <c r="G17" s="15">
        <v>124.42</v>
      </c>
    </row>
    <row r="18" spans="1:7" ht="12.75">
      <c r="A18" s="22" t="s">
        <v>13</v>
      </c>
      <c r="B18" s="430" t="s">
        <v>467</v>
      </c>
      <c r="C18" s="53"/>
      <c r="D18" s="493"/>
      <c r="E18" s="53"/>
      <c r="F18" s="486">
        <v>128400</v>
      </c>
      <c r="G18" s="15"/>
    </row>
    <row r="19" spans="1:7" ht="12.75">
      <c r="A19" s="22" t="s">
        <v>14</v>
      </c>
      <c r="B19" s="430" t="s">
        <v>560</v>
      </c>
      <c r="C19" s="53"/>
      <c r="D19" s="493"/>
      <c r="E19" s="53"/>
      <c r="F19" s="486">
        <v>13900</v>
      </c>
      <c r="G19" s="15"/>
    </row>
    <row r="20" spans="1:7" ht="12.75">
      <c r="A20" s="22" t="s">
        <v>15</v>
      </c>
      <c r="B20" s="430" t="s">
        <v>268</v>
      </c>
      <c r="C20" s="53"/>
      <c r="D20" s="493"/>
      <c r="E20" s="53"/>
      <c r="F20" s="486">
        <v>25900</v>
      </c>
      <c r="G20" s="15"/>
    </row>
    <row r="21" spans="1:7" ht="12.75">
      <c r="A21" s="22" t="s">
        <v>16</v>
      </c>
      <c r="B21" s="430" t="s">
        <v>482</v>
      </c>
      <c r="C21" s="53"/>
      <c r="D21" s="493"/>
      <c r="E21" s="53"/>
      <c r="F21" s="486">
        <v>33300</v>
      </c>
      <c r="G21" s="15"/>
    </row>
    <row r="22" spans="1:7" ht="12.75">
      <c r="A22" s="22" t="s">
        <v>19</v>
      </c>
      <c r="B22" s="430" t="s">
        <v>473</v>
      </c>
      <c r="C22" s="53"/>
      <c r="D22" s="493"/>
      <c r="E22" s="53"/>
      <c r="F22" s="486">
        <v>1100</v>
      </c>
      <c r="G22" s="15"/>
    </row>
    <row r="23" spans="1:7" ht="12.75">
      <c r="A23" s="22" t="s">
        <v>22</v>
      </c>
      <c r="B23" s="430" t="s">
        <v>476</v>
      </c>
      <c r="C23" s="53"/>
      <c r="D23" s="493"/>
      <c r="E23" s="53"/>
      <c r="F23" s="486">
        <v>2000</v>
      </c>
      <c r="G23" s="15"/>
    </row>
    <row r="24" spans="1:7" ht="12.75">
      <c r="A24" s="22" t="s">
        <v>25</v>
      </c>
      <c r="B24" s="430" t="s">
        <v>550</v>
      </c>
      <c r="C24" s="53"/>
      <c r="D24" s="493"/>
      <c r="E24" s="53"/>
      <c r="F24" s="486">
        <v>400</v>
      </c>
      <c r="G24" s="15"/>
    </row>
    <row r="25" spans="1:7" ht="12.75">
      <c r="A25" s="22" t="s">
        <v>28</v>
      </c>
      <c r="B25" s="55" t="s">
        <v>111</v>
      </c>
      <c r="C25" s="53">
        <v>657.16</v>
      </c>
      <c r="D25" s="493"/>
      <c r="E25" s="53"/>
      <c r="F25" s="486">
        <v>6000</v>
      </c>
      <c r="G25" s="498">
        <v>581.92</v>
      </c>
    </row>
    <row r="26" spans="1:7" ht="12.75">
      <c r="A26" s="22" t="s">
        <v>31</v>
      </c>
      <c r="B26" s="55" t="s">
        <v>112</v>
      </c>
      <c r="C26" s="53">
        <v>2836.69</v>
      </c>
      <c r="D26" s="493"/>
      <c r="E26" s="53"/>
      <c r="F26" s="486">
        <v>6700</v>
      </c>
      <c r="G26" s="15"/>
    </row>
    <row r="27" spans="1:7" ht="12.75">
      <c r="A27" s="22" t="s">
        <v>34</v>
      </c>
      <c r="B27" s="55" t="s">
        <v>561</v>
      </c>
      <c r="C27" s="53"/>
      <c r="D27" s="493"/>
      <c r="E27" s="53"/>
      <c r="F27" s="486">
        <v>5600</v>
      </c>
      <c r="G27" s="15"/>
    </row>
    <row r="28" spans="1:7" ht="12.75">
      <c r="A28" s="22" t="s">
        <v>37</v>
      </c>
      <c r="B28" s="55" t="s">
        <v>113</v>
      </c>
      <c r="C28" s="53"/>
      <c r="D28" s="493"/>
      <c r="E28" s="53"/>
      <c r="F28" s="486">
        <v>21600</v>
      </c>
      <c r="G28" s="15">
        <v>8417.18</v>
      </c>
    </row>
    <row r="29" spans="1:7" ht="12.75">
      <c r="A29" s="22" t="s">
        <v>40</v>
      </c>
      <c r="B29" s="431" t="s">
        <v>115</v>
      </c>
      <c r="C29" s="53">
        <v>18570.61</v>
      </c>
      <c r="D29" s="493"/>
      <c r="E29" s="53"/>
      <c r="F29" s="486"/>
      <c r="G29" s="15"/>
    </row>
    <row r="30" spans="1:7" ht="12.75">
      <c r="A30" s="22" t="s">
        <v>43</v>
      </c>
      <c r="B30" s="430" t="s">
        <v>179</v>
      </c>
      <c r="C30" s="53">
        <v>7430.19</v>
      </c>
      <c r="D30" s="493"/>
      <c r="E30" s="53"/>
      <c r="F30" s="486">
        <v>4200</v>
      </c>
      <c r="G30" s="15"/>
    </row>
    <row r="31" spans="1:7" ht="24">
      <c r="A31" s="205" t="s">
        <v>45</v>
      </c>
      <c r="B31" s="432" t="s">
        <v>196</v>
      </c>
      <c r="C31" s="433">
        <v>805.06</v>
      </c>
      <c r="D31" s="494"/>
      <c r="E31" s="53"/>
      <c r="F31" s="486">
        <v>700</v>
      </c>
      <c r="G31" s="15"/>
    </row>
    <row r="32" spans="1:7" ht="12.75">
      <c r="A32" s="22" t="s">
        <v>47</v>
      </c>
      <c r="B32" s="434" t="s">
        <v>116</v>
      </c>
      <c r="C32" s="53"/>
      <c r="D32" s="493"/>
      <c r="E32" s="53"/>
      <c r="F32" s="486">
        <v>8100</v>
      </c>
      <c r="G32" s="15"/>
    </row>
    <row r="33" spans="1:7" ht="12.75">
      <c r="A33" s="22" t="s">
        <v>50</v>
      </c>
      <c r="B33" s="55" t="s">
        <v>117</v>
      </c>
      <c r="C33" s="53">
        <v>196.67</v>
      </c>
      <c r="D33" s="493"/>
      <c r="E33" s="53"/>
      <c r="F33" s="486">
        <v>1300</v>
      </c>
      <c r="G33" s="15">
        <v>293.18</v>
      </c>
    </row>
    <row r="34" spans="1:7" ht="12.75">
      <c r="A34" s="22" t="s">
        <v>52</v>
      </c>
      <c r="B34" s="55" t="s">
        <v>118</v>
      </c>
      <c r="C34" s="53">
        <v>111.98</v>
      </c>
      <c r="D34" s="493"/>
      <c r="E34" s="53"/>
      <c r="F34" s="486">
        <v>4900</v>
      </c>
      <c r="G34" s="15">
        <v>933.03</v>
      </c>
    </row>
    <row r="35" spans="1:7" ht="12.75">
      <c r="A35" s="22" t="s">
        <v>129</v>
      </c>
      <c r="B35" s="55" t="s">
        <v>119</v>
      </c>
      <c r="C35" s="53"/>
      <c r="D35" s="493"/>
      <c r="E35" s="53"/>
      <c r="F35" s="486">
        <v>100</v>
      </c>
      <c r="G35" s="15"/>
    </row>
    <row r="36" spans="1:7" ht="12.75">
      <c r="A36" s="22" t="s">
        <v>56</v>
      </c>
      <c r="B36" s="55" t="s">
        <v>120</v>
      </c>
      <c r="C36" s="53">
        <v>1034.35</v>
      </c>
      <c r="D36" s="493"/>
      <c r="E36" s="53"/>
      <c r="F36" s="486">
        <v>2700</v>
      </c>
      <c r="G36" s="500">
        <v>409.9</v>
      </c>
    </row>
    <row r="37" spans="1:7" ht="12.75">
      <c r="A37" s="22" t="s">
        <v>59</v>
      </c>
      <c r="B37" s="55" t="s">
        <v>121</v>
      </c>
      <c r="C37" s="53">
        <v>57.92</v>
      </c>
      <c r="D37" s="493"/>
      <c r="E37" s="53"/>
      <c r="F37" s="486">
        <v>300</v>
      </c>
      <c r="G37" s="15"/>
    </row>
    <row r="38" spans="1:7" ht="12.75">
      <c r="A38" s="22" t="s">
        <v>61</v>
      </c>
      <c r="B38" s="55" t="s">
        <v>277</v>
      </c>
      <c r="C38" s="53">
        <v>70.79</v>
      </c>
      <c r="D38" s="493"/>
      <c r="E38" s="53"/>
      <c r="F38" s="486">
        <v>100</v>
      </c>
      <c r="G38" s="500">
        <v>100</v>
      </c>
    </row>
    <row r="39" spans="1:7" ht="12.75">
      <c r="A39" s="22" t="s">
        <v>63</v>
      </c>
      <c r="B39" s="55" t="s">
        <v>122</v>
      </c>
      <c r="C39" s="53">
        <v>140.86</v>
      </c>
      <c r="D39" s="493"/>
      <c r="E39" s="53"/>
      <c r="F39" s="486"/>
      <c r="G39" s="15"/>
    </row>
    <row r="40" spans="1:7" ht="12.75">
      <c r="A40" s="22" t="s">
        <v>66</v>
      </c>
      <c r="B40" s="55" t="s">
        <v>180</v>
      </c>
      <c r="C40" s="53">
        <v>163.54</v>
      </c>
      <c r="D40" s="493"/>
      <c r="E40" s="53"/>
      <c r="F40" s="486">
        <v>7600</v>
      </c>
      <c r="G40" s="15">
        <v>179.27</v>
      </c>
    </row>
    <row r="41" spans="1:7" ht="12.75">
      <c r="A41" s="22" t="s">
        <v>69</v>
      </c>
      <c r="B41" s="55" t="s">
        <v>125</v>
      </c>
      <c r="C41" s="53">
        <v>31293.84</v>
      </c>
      <c r="D41" s="493"/>
      <c r="E41" s="53"/>
      <c r="F41" s="486">
        <v>9900</v>
      </c>
      <c r="G41" s="15"/>
    </row>
    <row r="42" spans="1:7" ht="12.75">
      <c r="A42" s="22" t="s">
        <v>72</v>
      </c>
      <c r="B42" s="55" t="s">
        <v>181</v>
      </c>
      <c r="C42" s="53">
        <v>461.74</v>
      </c>
      <c r="D42" s="493"/>
      <c r="E42" s="53"/>
      <c r="F42" s="486">
        <v>3600</v>
      </c>
      <c r="G42" s="15">
        <v>1255.96</v>
      </c>
    </row>
    <row r="43" spans="1:7" ht="12.75">
      <c r="A43" s="22" t="s">
        <v>73</v>
      </c>
      <c r="B43" s="55" t="s">
        <v>182</v>
      </c>
      <c r="C43" s="53">
        <v>599.63</v>
      </c>
      <c r="D43" s="493"/>
      <c r="E43" s="53"/>
      <c r="F43" s="486">
        <v>3600</v>
      </c>
      <c r="G43" s="15"/>
    </row>
    <row r="44" spans="1:7" ht="12.75">
      <c r="A44" s="22" t="s">
        <v>74</v>
      </c>
      <c r="B44" s="55" t="s">
        <v>128</v>
      </c>
      <c r="C44" s="53">
        <v>16.68</v>
      </c>
      <c r="D44" s="493"/>
      <c r="E44" s="53"/>
      <c r="F44" s="486">
        <v>4800</v>
      </c>
      <c r="G44" s="15"/>
    </row>
    <row r="45" spans="1:7" ht="12.75">
      <c r="A45" s="22" t="s">
        <v>75</v>
      </c>
      <c r="B45" s="55" t="s">
        <v>130</v>
      </c>
      <c r="C45" s="53"/>
      <c r="D45" s="493"/>
      <c r="E45" s="53"/>
      <c r="F45" s="486">
        <v>5300</v>
      </c>
      <c r="G45" s="15"/>
    </row>
    <row r="46" spans="1:7" ht="12.75">
      <c r="A46" s="22" t="s">
        <v>138</v>
      </c>
      <c r="B46" s="55" t="s">
        <v>436</v>
      </c>
      <c r="C46" s="53"/>
      <c r="D46" s="493"/>
      <c r="E46" s="53"/>
      <c r="F46" s="486">
        <v>200</v>
      </c>
      <c r="G46" s="15"/>
    </row>
    <row r="47" spans="1:7" ht="12.75">
      <c r="A47" s="22" t="s">
        <v>140</v>
      </c>
      <c r="B47" s="55" t="s">
        <v>302</v>
      </c>
      <c r="C47" s="53">
        <v>7523.29</v>
      </c>
      <c r="D47" s="493"/>
      <c r="E47" s="53"/>
      <c r="F47" s="486">
        <v>2900</v>
      </c>
      <c r="G47" s="15"/>
    </row>
    <row r="48" spans="1:7" ht="12.75">
      <c r="A48" s="22" t="s">
        <v>142</v>
      </c>
      <c r="B48" s="55" t="s">
        <v>435</v>
      </c>
      <c r="C48" s="53">
        <v>1469.82</v>
      </c>
      <c r="D48" s="493"/>
      <c r="E48" s="53"/>
      <c r="F48" s="486">
        <v>700</v>
      </c>
      <c r="G48" s="15"/>
    </row>
    <row r="49" spans="1:7" ht="12.75">
      <c r="A49" s="22" t="s">
        <v>144</v>
      </c>
      <c r="B49" s="55" t="s">
        <v>562</v>
      </c>
      <c r="C49" s="53"/>
      <c r="D49" s="493"/>
      <c r="E49" s="53"/>
      <c r="F49" s="486">
        <v>200</v>
      </c>
      <c r="G49" s="15"/>
    </row>
    <row r="50" spans="1:7" ht="12.75">
      <c r="A50" s="22" t="s">
        <v>146</v>
      </c>
      <c r="B50" s="55" t="s">
        <v>303</v>
      </c>
      <c r="C50" s="53">
        <v>790</v>
      </c>
      <c r="D50" s="493">
        <v>603</v>
      </c>
      <c r="E50" s="53"/>
      <c r="F50" s="486">
        <v>100</v>
      </c>
      <c r="G50" s="15"/>
    </row>
    <row r="51" spans="1:7" ht="12.75">
      <c r="A51" s="22" t="s">
        <v>148</v>
      </c>
      <c r="B51" s="55" t="s">
        <v>317</v>
      </c>
      <c r="C51" s="53">
        <v>74.87</v>
      </c>
      <c r="D51" s="493"/>
      <c r="E51" s="53"/>
      <c r="F51" s="486">
        <v>300</v>
      </c>
      <c r="G51" s="15"/>
    </row>
    <row r="52" spans="1:7" ht="12.75">
      <c r="A52" s="22" t="s">
        <v>150</v>
      </c>
      <c r="B52" s="55" t="s">
        <v>134</v>
      </c>
      <c r="C52" s="53"/>
      <c r="D52" s="493"/>
      <c r="E52" s="53"/>
      <c r="F52" s="486">
        <v>3700</v>
      </c>
      <c r="G52" s="15"/>
    </row>
    <row r="53" spans="1:7" ht="12.75">
      <c r="A53" s="22" t="s">
        <v>152</v>
      </c>
      <c r="B53" s="55" t="s">
        <v>183</v>
      </c>
      <c r="C53" s="53"/>
      <c r="D53" s="493"/>
      <c r="E53" s="53"/>
      <c r="F53" s="486">
        <v>3200</v>
      </c>
      <c r="G53" s="15"/>
    </row>
    <row r="54" spans="1:7" ht="12.75">
      <c r="A54" s="22" t="s">
        <v>154</v>
      </c>
      <c r="B54" s="55" t="s">
        <v>206</v>
      </c>
      <c r="C54" s="53"/>
      <c r="D54" s="493"/>
      <c r="E54" s="53"/>
      <c r="F54" s="486">
        <v>4200</v>
      </c>
      <c r="G54" s="15"/>
    </row>
    <row r="55" spans="1:7" ht="12.75">
      <c r="A55" s="22" t="s">
        <v>156</v>
      </c>
      <c r="B55" s="55" t="s">
        <v>141</v>
      </c>
      <c r="C55" s="53"/>
      <c r="D55" s="493"/>
      <c r="E55" s="53"/>
      <c r="F55" s="486">
        <v>4400</v>
      </c>
      <c r="G55" s="15"/>
    </row>
    <row r="56" spans="1:7" ht="12.75">
      <c r="A56" s="22" t="s">
        <v>157</v>
      </c>
      <c r="B56" s="55" t="s">
        <v>145</v>
      </c>
      <c r="C56" s="53"/>
      <c r="D56" s="493"/>
      <c r="E56" s="53"/>
      <c r="F56" s="486">
        <v>300</v>
      </c>
      <c r="G56" s="15"/>
    </row>
    <row r="57" spans="1:7" ht="12.75">
      <c r="A57" s="22" t="s">
        <v>159</v>
      </c>
      <c r="B57" s="55" t="s">
        <v>160</v>
      </c>
      <c r="C57" s="53"/>
      <c r="D57" s="493"/>
      <c r="E57" s="53"/>
      <c r="F57" s="486">
        <v>4400</v>
      </c>
      <c r="G57" s="15"/>
    </row>
    <row r="58" spans="1:7" ht="12.75">
      <c r="A58" s="22" t="s">
        <v>161</v>
      </c>
      <c r="B58" s="55" t="s">
        <v>164</v>
      </c>
      <c r="C58" s="53"/>
      <c r="D58" s="493"/>
      <c r="E58" s="53"/>
      <c r="F58" s="486">
        <v>20600</v>
      </c>
      <c r="G58" s="15"/>
    </row>
    <row r="59" spans="1:7" ht="12.75">
      <c r="A59" s="22" t="s">
        <v>163</v>
      </c>
      <c r="B59" s="55" t="s">
        <v>147</v>
      </c>
      <c r="C59" s="53"/>
      <c r="D59" s="493"/>
      <c r="E59" s="53"/>
      <c r="F59" s="486">
        <v>7000</v>
      </c>
      <c r="G59" s="15"/>
    </row>
    <row r="60" spans="1:7" ht="12.75">
      <c r="A60" s="22" t="s">
        <v>165</v>
      </c>
      <c r="B60" s="55" t="s">
        <v>153</v>
      </c>
      <c r="C60" s="53">
        <v>1426.82</v>
      </c>
      <c r="D60" s="493"/>
      <c r="E60" s="53"/>
      <c r="F60" s="486">
        <v>7000</v>
      </c>
      <c r="G60" s="15"/>
    </row>
    <row r="61" spans="1:7" ht="12.75">
      <c r="A61" s="22" t="s">
        <v>166</v>
      </c>
      <c r="B61" s="115" t="s">
        <v>189</v>
      </c>
      <c r="C61" s="53">
        <v>632.73</v>
      </c>
      <c r="D61" s="493"/>
      <c r="E61" s="53"/>
      <c r="F61" s="486">
        <v>0</v>
      </c>
      <c r="G61" s="15"/>
    </row>
    <row r="62" spans="1:7" ht="12.75">
      <c r="A62" s="22" t="s">
        <v>168</v>
      </c>
      <c r="B62" s="116" t="s">
        <v>190</v>
      </c>
      <c r="C62" s="53">
        <v>168</v>
      </c>
      <c r="D62" s="493"/>
      <c r="E62" s="53"/>
      <c r="F62" s="486">
        <v>0</v>
      </c>
      <c r="G62" s="15"/>
    </row>
    <row r="63" spans="1:7" ht="12.75">
      <c r="A63" s="22" t="s">
        <v>170</v>
      </c>
      <c r="B63" s="55" t="s">
        <v>167</v>
      </c>
      <c r="C63" s="53"/>
      <c r="D63" s="493"/>
      <c r="E63" s="53"/>
      <c r="F63" s="497">
        <v>5400</v>
      </c>
      <c r="G63" s="498">
        <v>2145.89</v>
      </c>
    </row>
    <row r="64" spans="1:7" ht="12.75">
      <c r="A64" s="22" t="s">
        <v>172</v>
      </c>
      <c r="B64" s="55" t="s">
        <v>184</v>
      </c>
      <c r="C64" s="53">
        <v>3540.69</v>
      </c>
      <c r="D64" s="493"/>
      <c r="E64" s="53"/>
      <c r="F64" s="497">
        <v>1200</v>
      </c>
      <c r="G64" s="15"/>
    </row>
    <row r="65" spans="1:7" ht="12.75">
      <c r="A65" s="22" t="s">
        <v>563</v>
      </c>
      <c r="B65" s="55" t="s">
        <v>171</v>
      </c>
      <c r="C65" s="53">
        <v>5740.82</v>
      </c>
      <c r="D65" s="493"/>
      <c r="E65" s="53"/>
      <c r="F65" s="486">
        <v>1400</v>
      </c>
      <c r="G65" s="15">
        <v>377.99</v>
      </c>
    </row>
    <row r="66" spans="1:7" ht="12.75">
      <c r="A66" s="22" t="s">
        <v>564</v>
      </c>
      <c r="B66" s="55" t="s">
        <v>173</v>
      </c>
      <c r="C66" s="53"/>
      <c r="D66" s="493"/>
      <c r="E66" s="53"/>
      <c r="F66" s="486">
        <v>100</v>
      </c>
      <c r="G66" s="15"/>
    </row>
    <row r="67" spans="1:7" ht="12.75">
      <c r="A67" s="22" t="s">
        <v>565</v>
      </c>
      <c r="B67" s="55" t="s">
        <v>174</v>
      </c>
      <c r="C67" s="53">
        <v>580.33</v>
      </c>
      <c r="D67" s="493"/>
      <c r="E67" s="53"/>
      <c r="F67" s="497">
        <v>6500</v>
      </c>
      <c r="G67" s="498">
        <v>1808.48</v>
      </c>
    </row>
    <row r="68" spans="1:7" ht="12.75">
      <c r="A68" s="22" t="s">
        <v>566</v>
      </c>
      <c r="B68" s="55" t="s">
        <v>175</v>
      </c>
      <c r="C68" s="53"/>
      <c r="D68" s="493"/>
      <c r="E68" s="53"/>
      <c r="F68" s="486">
        <v>400</v>
      </c>
      <c r="G68" s="15"/>
    </row>
    <row r="69" spans="1:7" ht="12.75">
      <c r="A69" s="22" t="s">
        <v>567</v>
      </c>
      <c r="B69" s="55" t="s">
        <v>420</v>
      </c>
      <c r="C69" s="53"/>
      <c r="D69" s="493"/>
      <c r="E69" s="53"/>
      <c r="F69" s="486">
        <v>1500</v>
      </c>
      <c r="G69" s="15"/>
    </row>
    <row r="70" spans="1:7" ht="12.75">
      <c r="A70" s="435" t="s">
        <v>568</v>
      </c>
      <c r="B70" s="55" t="s">
        <v>569</v>
      </c>
      <c r="C70" s="53">
        <f>C15+SUM(C25:C69)</f>
        <v>86395.08</v>
      </c>
      <c r="D70" s="493"/>
      <c r="E70" s="53"/>
      <c r="F70" s="486">
        <f>F15+SUM(F17:F69)</f>
        <v>415100</v>
      </c>
      <c r="G70" s="15"/>
    </row>
    <row r="71" spans="1:7" ht="24">
      <c r="A71" s="435" t="s">
        <v>570</v>
      </c>
      <c r="B71" s="93" t="s">
        <v>250</v>
      </c>
      <c r="C71" s="53"/>
      <c r="D71" s="493"/>
      <c r="E71" s="53">
        <v>107551.84</v>
      </c>
      <c r="F71" s="486"/>
      <c r="G71" s="15"/>
    </row>
    <row r="72" spans="1:7" ht="13.5" thickBot="1">
      <c r="A72" s="436" t="s">
        <v>571</v>
      </c>
      <c r="B72" s="437" t="s">
        <v>319</v>
      </c>
      <c r="C72" s="438"/>
      <c r="D72" s="495"/>
      <c r="E72" s="438"/>
      <c r="F72" s="487">
        <v>37774.29</v>
      </c>
      <c r="G72" s="15"/>
    </row>
    <row r="73" spans="1:8" ht="13.5" thickBot="1">
      <c r="A73" s="439" t="s">
        <v>572</v>
      </c>
      <c r="B73" s="440" t="s">
        <v>304</v>
      </c>
      <c r="C73" s="441">
        <f>SUM(C16:C67)</f>
        <v>100524.43000000001</v>
      </c>
      <c r="D73" s="496">
        <f>SUM(D16:D67)</f>
        <v>603</v>
      </c>
      <c r="E73" s="441">
        <v>107551.84</v>
      </c>
      <c r="F73" s="488">
        <f>F70+F72</f>
        <v>452874.29</v>
      </c>
      <c r="G73" s="496">
        <f>SUM(G15:G67)</f>
        <v>30122.670000000002</v>
      </c>
      <c r="H73" s="56"/>
    </row>
  </sheetData>
  <sheetProtection/>
  <mergeCells count="7">
    <mergeCell ref="G12:G14"/>
    <mergeCell ref="A12:A14"/>
    <mergeCell ref="B12:B14"/>
    <mergeCell ref="C12:C14"/>
    <mergeCell ref="E12:E14"/>
    <mergeCell ref="F12:F14"/>
    <mergeCell ref="D12:D14"/>
  </mergeCells>
  <printOptions/>
  <pageMargins left="0.7480314960629921" right="0.7480314960629921" top="0.7874015748031497" bottom="0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6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1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10" max="10" width="6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4"/>
      <c r="B2" s="34"/>
      <c r="C2" s="34"/>
      <c r="D2" s="34"/>
      <c r="E2" s="34"/>
      <c r="F2" s="34"/>
      <c r="G2" s="34"/>
      <c r="H2" s="34"/>
      <c r="I2" s="34"/>
      <c r="J2" s="175" t="s">
        <v>177</v>
      </c>
      <c r="M2" s="34"/>
    </row>
    <row r="3" spans="1:14" ht="12.75">
      <c r="A3" s="442"/>
      <c r="B3" s="442"/>
      <c r="C3" s="442"/>
      <c r="D3" s="442"/>
      <c r="E3" s="442"/>
      <c r="F3" s="442"/>
      <c r="G3" s="442"/>
      <c r="H3" s="442"/>
      <c r="I3" s="442"/>
      <c r="J3" s="122" t="s">
        <v>316</v>
      </c>
      <c r="K3" s="12"/>
      <c r="M3" s="442"/>
      <c r="N3" s="442"/>
    </row>
    <row r="4" spans="1:14" ht="12.75">
      <c r="A4" s="442"/>
      <c r="B4" s="442"/>
      <c r="C4" s="442"/>
      <c r="D4" s="442"/>
      <c r="E4" s="442"/>
      <c r="F4" s="442"/>
      <c r="G4" s="442"/>
      <c r="H4" s="442"/>
      <c r="I4" s="442"/>
      <c r="J4" s="175" t="s">
        <v>254</v>
      </c>
      <c r="M4" s="442"/>
      <c r="N4" s="442"/>
    </row>
    <row r="6" spans="1:13" ht="12.75">
      <c r="A6" s="34"/>
      <c r="B6" s="622" t="s">
        <v>633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34"/>
    </row>
    <row r="7" spans="1:13" ht="12.75">
      <c r="A7" s="34"/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34"/>
    </row>
    <row r="8" spans="1:13" ht="13.5" thickBot="1">
      <c r="A8" s="95"/>
      <c r="B8" s="95"/>
      <c r="C8" s="95"/>
      <c r="D8" s="34"/>
      <c r="E8" s="34"/>
      <c r="F8" s="34"/>
      <c r="G8" s="34"/>
      <c r="H8" s="34"/>
      <c r="I8" s="34"/>
      <c r="J8" s="34"/>
      <c r="K8" s="34"/>
      <c r="L8" s="34" t="s">
        <v>262</v>
      </c>
      <c r="M8" s="34"/>
    </row>
    <row r="9" spans="1:13" ht="12.75">
      <c r="A9" s="605" t="s">
        <v>278</v>
      </c>
      <c r="B9" s="617" t="s">
        <v>279</v>
      </c>
      <c r="C9" s="619" t="s">
        <v>280</v>
      </c>
      <c r="D9" s="605" t="s">
        <v>281</v>
      </c>
      <c r="E9" s="96" t="s">
        <v>282</v>
      </c>
      <c r="F9" s="97"/>
      <c r="G9" s="98"/>
      <c r="H9" s="97" t="s">
        <v>573</v>
      </c>
      <c r="I9" s="97"/>
      <c r="J9" s="96"/>
      <c r="K9" s="97"/>
      <c r="L9" s="99"/>
      <c r="M9" s="100" t="s">
        <v>283</v>
      </c>
    </row>
    <row r="10" spans="1:13" ht="12.75">
      <c r="A10" s="606"/>
      <c r="B10" s="618"/>
      <c r="C10" s="620"/>
      <c r="D10" s="606"/>
      <c r="E10" s="608" t="s">
        <v>284</v>
      </c>
      <c r="F10" s="610" t="s">
        <v>285</v>
      </c>
      <c r="G10" s="612" t="s">
        <v>286</v>
      </c>
      <c r="H10" s="101"/>
      <c r="I10" s="614" t="s">
        <v>287</v>
      </c>
      <c r="J10" s="615"/>
      <c r="K10" s="615"/>
      <c r="L10" s="616"/>
      <c r="M10" s="612"/>
    </row>
    <row r="11" spans="1:13" ht="64.5" thickBot="1">
      <c r="A11" s="607"/>
      <c r="B11" s="611"/>
      <c r="C11" s="621"/>
      <c r="D11" s="607"/>
      <c r="E11" s="609"/>
      <c r="F11" s="611"/>
      <c r="G11" s="613"/>
      <c r="H11" s="103" t="s">
        <v>288</v>
      </c>
      <c r="I11" s="102" t="s">
        <v>574</v>
      </c>
      <c r="J11" s="102" t="s">
        <v>289</v>
      </c>
      <c r="K11" s="104" t="s">
        <v>290</v>
      </c>
      <c r="L11" s="102" t="s">
        <v>291</v>
      </c>
      <c r="M11" s="613"/>
    </row>
    <row r="12" spans="1:13" ht="114.75">
      <c r="A12" s="443">
        <v>1</v>
      </c>
      <c r="B12" s="502" t="s">
        <v>627</v>
      </c>
      <c r="C12" s="452" t="s">
        <v>293</v>
      </c>
      <c r="D12" s="503">
        <v>3454</v>
      </c>
      <c r="E12" s="453"/>
      <c r="F12" s="453"/>
      <c r="G12" s="454"/>
      <c r="H12" s="449">
        <v>408</v>
      </c>
      <c r="I12" s="447">
        <v>408</v>
      </c>
      <c r="J12" s="447">
        <v>0</v>
      </c>
      <c r="K12" s="453"/>
      <c r="L12" s="453"/>
      <c r="M12" s="444" t="s">
        <v>628</v>
      </c>
    </row>
    <row r="13" spans="1:13" ht="76.5">
      <c r="A13" s="443">
        <v>2</v>
      </c>
      <c r="B13" s="444" t="s">
        <v>294</v>
      </c>
      <c r="C13" s="445" t="s">
        <v>292</v>
      </c>
      <c r="D13" s="446">
        <v>3722.62</v>
      </c>
      <c r="E13" s="447"/>
      <c r="F13" s="447"/>
      <c r="G13" s="448"/>
      <c r="H13" s="457">
        <f>I13+J13</f>
        <v>1775.4</v>
      </c>
      <c r="I13" s="453">
        <v>1372</v>
      </c>
      <c r="J13" s="453">
        <v>403.4</v>
      </c>
      <c r="K13" s="447"/>
      <c r="L13" s="450"/>
      <c r="M13" s="444" t="s">
        <v>629</v>
      </c>
    </row>
    <row r="14" spans="1:13" ht="51">
      <c r="A14" s="443">
        <v>3</v>
      </c>
      <c r="B14" s="444" t="s">
        <v>295</v>
      </c>
      <c r="C14" s="445"/>
      <c r="D14" s="446" t="s">
        <v>576</v>
      </c>
      <c r="E14" s="447"/>
      <c r="F14" s="447"/>
      <c r="G14" s="448"/>
      <c r="H14" s="449">
        <f>I14+J14</f>
        <v>210</v>
      </c>
      <c r="I14" s="447">
        <v>210</v>
      </c>
      <c r="J14" s="447">
        <v>0</v>
      </c>
      <c r="K14" s="447"/>
      <c r="L14" s="447"/>
      <c r="M14" s="444" t="s">
        <v>575</v>
      </c>
    </row>
    <row r="15" spans="1:13" ht="114.75">
      <c r="A15" s="443">
        <v>4</v>
      </c>
      <c r="B15" s="444" t="s">
        <v>630</v>
      </c>
      <c r="C15" s="445" t="s">
        <v>577</v>
      </c>
      <c r="D15" s="446">
        <v>1267.1</v>
      </c>
      <c r="E15" s="447">
        <v>287</v>
      </c>
      <c r="F15" s="447">
        <v>780</v>
      </c>
      <c r="G15" s="448">
        <v>200</v>
      </c>
      <c r="H15" s="451">
        <f>I15+J15</f>
        <v>659</v>
      </c>
      <c r="I15" s="447">
        <v>569</v>
      </c>
      <c r="J15" s="447">
        <v>90</v>
      </c>
      <c r="K15" s="447"/>
      <c r="L15" s="447"/>
      <c r="M15" s="444" t="s">
        <v>578</v>
      </c>
    </row>
    <row r="16" spans="1:13" ht="140.25">
      <c r="A16" s="443">
        <v>5</v>
      </c>
      <c r="B16" s="444" t="s">
        <v>296</v>
      </c>
      <c r="C16" s="445" t="s">
        <v>292</v>
      </c>
      <c r="D16" s="446">
        <v>521.9</v>
      </c>
      <c r="E16" s="447">
        <v>482.7</v>
      </c>
      <c r="F16" s="447">
        <v>39.1</v>
      </c>
      <c r="G16" s="448">
        <v>39.1</v>
      </c>
      <c r="H16" s="449">
        <v>345.1</v>
      </c>
      <c r="I16" s="447">
        <v>319.2</v>
      </c>
      <c r="J16" s="447">
        <v>25.9</v>
      </c>
      <c r="K16" s="447"/>
      <c r="L16" s="447">
        <v>1.9</v>
      </c>
      <c r="M16" s="444"/>
    </row>
    <row r="17" spans="1:13" ht="51">
      <c r="A17" s="443">
        <v>6</v>
      </c>
      <c r="B17" s="444" t="s">
        <v>297</v>
      </c>
      <c r="C17" s="445" t="s">
        <v>298</v>
      </c>
      <c r="D17" s="446">
        <v>350.2</v>
      </c>
      <c r="E17" s="447">
        <v>297.7</v>
      </c>
      <c r="F17" s="447"/>
      <c r="G17" s="448">
        <v>52.5</v>
      </c>
      <c r="H17" s="449">
        <v>275.2</v>
      </c>
      <c r="I17" s="447">
        <v>233.9</v>
      </c>
      <c r="J17" s="447">
        <v>41.3</v>
      </c>
      <c r="K17" s="447"/>
      <c r="L17" s="458"/>
      <c r="M17" s="444"/>
    </row>
    <row r="18" spans="1:13" ht="39" thickBot="1">
      <c r="A18" s="443">
        <v>7</v>
      </c>
      <c r="B18" s="444" t="s">
        <v>299</v>
      </c>
      <c r="C18" s="445" t="s">
        <v>579</v>
      </c>
      <c r="D18" s="504">
        <v>679.8</v>
      </c>
      <c r="E18" s="505">
        <v>577.8</v>
      </c>
      <c r="F18" s="447">
        <v>50.98</v>
      </c>
      <c r="G18" s="447">
        <v>50.99</v>
      </c>
      <c r="H18" s="449">
        <v>132.5</v>
      </c>
      <c r="I18" s="447">
        <v>118.56</v>
      </c>
      <c r="J18" s="447">
        <v>9.94</v>
      </c>
      <c r="K18" s="447">
        <v>0</v>
      </c>
      <c r="L18" s="447">
        <v>4</v>
      </c>
      <c r="M18" s="444" t="s">
        <v>580</v>
      </c>
    </row>
    <row r="19" spans="1:13" ht="38.25">
      <c r="A19" s="443">
        <v>8</v>
      </c>
      <c r="B19" s="444" t="s">
        <v>300</v>
      </c>
      <c r="C19" s="445" t="s">
        <v>579</v>
      </c>
      <c r="D19" s="506">
        <v>550.1</v>
      </c>
      <c r="E19" s="507">
        <v>467.6</v>
      </c>
      <c r="F19" s="507">
        <v>41.2</v>
      </c>
      <c r="G19" s="507">
        <v>41.2</v>
      </c>
      <c r="H19" s="447">
        <v>131.4</v>
      </c>
      <c r="I19" s="447">
        <v>121.54</v>
      </c>
      <c r="J19" s="447">
        <v>9.86</v>
      </c>
      <c r="K19" s="447">
        <v>0</v>
      </c>
      <c r="L19" s="447">
        <v>0</v>
      </c>
      <c r="M19" s="444" t="s">
        <v>580</v>
      </c>
    </row>
    <row r="20" spans="1:13" ht="38.25">
      <c r="A20" s="443">
        <v>9</v>
      </c>
      <c r="B20" s="444" t="s">
        <v>581</v>
      </c>
      <c r="C20" s="445" t="s">
        <v>582</v>
      </c>
      <c r="D20" s="446">
        <v>188</v>
      </c>
      <c r="E20" s="447">
        <v>159.8</v>
      </c>
      <c r="F20" s="447"/>
      <c r="G20" s="508">
        <v>28.2</v>
      </c>
      <c r="H20" s="501">
        <v>174.8</v>
      </c>
      <c r="I20" s="458">
        <v>148.6</v>
      </c>
      <c r="J20" s="447" t="s">
        <v>583</v>
      </c>
      <c r="K20" s="447"/>
      <c r="L20" s="447"/>
      <c r="M20" s="444" t="s">
        <v>584</v>
      </c>
    </row>
    <row r="21" spans="1:13" ht="38.25">
      <c r="A21" s="443">
        <v>10</v>
      </c>
      <c r="B21" s="444" t="s">
        <v>631</v>
      </c>
      <c r="C21" s="445" t="s">
        <v>585</v>
      </c>
      <c r="D21" s="446">
        <v>883.86</v>
      </c>
      <c r="E21" s="447">
        <v>751.28</v>
      </c>
      <c r="F21" s="447">
        <v>0</v>
      </c>
      <c r="G21" s="448">
        <v>132.58</v>
      </c>
      <c r="H21" s="449">
        <v>489.3</v>
      </c>
      <c r="I21" s="447">
        <v>410.3</v>
      </c>
      <c r="J21" s="460">
        <v>72.4</v>
      </c>
      <c r="K21" s="447"/>
      <c r="L21" s="447">
        <v>6.6</v>
      </c>
      <c r="M21" s="509" t="s">
        <v>586</v>
      </c>
    </row>
    <row r="22" spans="1:13" ht="89.25">
      <c r="A22" s="444">
        <v>11</v>
      </c>
      <c r="B22" s="444" t="s">
        <v>587</v>
      </c>
      <c r="C22" s="445" t="s">
        <v>588</v>
      </c>
      <c r="D22" s="510">
        <v>208.7</v>
      </c>
      <c r="E22" s="511">
        <v>166.9</v>
      </c>
      <c r="F22" s="458">
        <v>0</v>
      </c>
      <c r="G22" s="512">
        <v>41.7</v>
      </c>
      <c r="H22" s="513">
        <v>86.6</v>
      </c>
      <c r="I22" s="458">
        <v>63.8</v>
      </c>
      <c r="J22" s="458">
        <v>16.2</v>
      </c>
      <c r="K22" s="514"/>
      <c r="L22" s="458"/>
      <c r="M22" s="509" t="s">
        <v>589</v>
      </c>
    </row>
    <row r="23" spans="1:13" ht="89.25">
      <c r="A23" s="443">
        <v>12</v>
      </c>
      <c r="B23" s="515" t="s">
        <v>590</v>
      </c>
      <c r="C23" s="445" t="s">
        <v>591</v>
      </c>
      <c r="D23" s="516">
        <v>104.3</v>
      </c>
      <c r="E23" s="447">
        <v>83.4</v>
      </c>
      <c r="F23" s="447">
        <v>0</v>
      </c>
      <c r="G23" s="517">
        <v>20.9</v>
      </c>
      <c r="H23" s="449">
        <v>38.6</v>
      </c>
      <c r="I23" s="447">
        <v>30.9</v>
      </c>
      <c r="J23" s="518">
        <v>7.7</v>
      </c>
      <c r="K23" s="447"/>
      <c r="L23" s="447"/>
      <c r="M23" s="509" t="s">
        <v>589</v>
      </c>
    </row>
    <row r="24" spans="1:13" ht="38.25">
      <c r="A24" s="443">
        <v>13</v>
      </c>
      <c r="B24" s="444" t="s">
        <v>592</v>
      </c>
      <c r="C24" s="445" t="s">
        <v>579</v>
      </c>
      <c r="D24" s="446">
        <v>238.7</v>
      </c>
      <c r="E24" s="447">
        <v>191</v>
      </c>
      <c r="F24" s="447">
        <v>0</v>
      </c>
      <c r="G24" s="508">
        <v>47.7</v>
      </c>
      <c r="H24" s="501">
        <v>91.2</v>
      </c>
      <c r="I24" s="458">
        <v>73</v>
      </c>
      <c r="J24" s="447">
        <v>18.2</v>
      </c>
      <c r="K24" s="447"/>
      <c r="L24" s="447"/>
      <c r="M24" s="444" t="s">
        <v>589</v>
      </c>
    </row>
    <row r="25" spans="1:13" ht="102">
      <c r="A25" s="455">
        <v>14</v>
      </c>
      <c r="B25" s="444" t="s">
        <v>593</v>
      </c>
      <c r="C25" s="445" t="s">
        <v>594</v>
      </c>
      <c r="D25" s="519">
        <v>227.2</v>
      </c>
      <c r="E25" s="447">
        <v>193.1</v>
      </c>
      <c r="F25" s="447"/>
      <c r="G25" s="448">
        <v>34.1</v>
      </c>
      <c r="H25" s="449">
        <v>31.1</v>
      </c>
      <c r="I25" s="447">
        <v>26.4</v>
      </c>
      <c r="J25" s="447">
        <v>4.7</v>
      </c>
      <c r="K25" s="447"/>
      <c r="L25" s="447"/>
      <c r="M25" s="444" t="s">
        <v>595</v>
      </c>
    </row>
    <row r="26" spans="1:13" ht="242.25">
      <c r="A26" s="455">
        <v>15</v>
      </c>
      <c r="B26" s="444" t="s">
        <v>596</v>
      </c>
      <c r="C26" s="445" t="s">
        <v>597</v>
      </c>
      <c r="D26" s="520">
        <v>48.6</v>
      </c>
      <c r="E26" s="521">
        <v>38.9</v>
      </c>
      <c r="F26" s="447">
        <v>0</v>
      </c>
      <c r="G26" s="448">
        <v>9.7</v>
      </c>
      <c r="H26" s="522">
        <v>24.3</v>
      </c>
      <c r="I26" s="521">
        <v>14.6</v>
      </c>
      <c r="J26" s="521">
        <v>0</v>
      </c>
      <c r="K26" s="459">
        <v>9.7</v>
      </c>
      <c r="L26" s="447">
        <v>0</v>
      </c>
      <c r="M26" s="444" t="s">
        <v>598</v>
      </c>
    </row>
    <row r="27" spans="1:13" ht="12.75">
      <c r="A27" s="455"/>
      <c r="B27" s="599" t="s">
        <v>599</v>
      </c>
      <c r="C27" s="599"/>
      <c r="D27" s="599"/>
      <c r="E27" s="599"/>
      <c r="F27" s="599"/>
      <c r="G27" s="600"/>
      <c r="H27" s="523">
        <f>SUM(H12:H26)</f>
        <v>4872.500000000001</v>
      </c>
      <c r="I27" s="523">
        <f>SUM(I12:I26)</f>
        <v>4119.8</v>
      </c>
      <c r="J27" s="523">
        <f>SUM(J12:J26)</f>
        <v>699.6000000000001</v>
      </c>
      <c r="K27" s="523">
        <f>SUM(K12:K26)</f>
        <v>9.7</v>
      </c>
      <c r="L27" s="523">
        <f>SUM(L12:L25)</f>
        <v>12.5</v>
      </c>
      <c r="M27" s="456"/>
    </row>
    <row r="28" spans="1:13" ht="12.75">
      <c r="A28" s="43"/>
      <c r="B28" s="601" t="s">
        <v>600</v>
      </c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600"/>
    </row>
    <row r="29" spans="1:13" ht="267.75">
      <c r="A29" s="43">
        <v>18</v>
      </c>
      <c r="B29" s="465" t="s">
        <v>603</v>
      </c>
      <c r="C29" s="445" t="s">
        <v>601</v>
      </c>
      <c r="D29" s="461">
        <v>92.6</v>
      </c>
      <c r="E29" s="460">
        <v>78.7</v>
      </c>
      <c r="F29" s="460"/>
      <c r="G29" s="462">
        <v>13.9</v>
      </c>
      <c r="H29" s="463">
        <v>75.6</v>
      </c>
      <c r="I29" s="464" t="s">
        <v>602</v>
      </c>
      <c r="J29" s="460">
        <v>11.4</v>
      </c>
      <c r="K29" s="460">
        <v>64.2</v>
      </c>
      <c r="L29" s="447"/>
      <c r="M29" s="444" t="s">
        <v>632</v>
      </c>
    </row>
    <row r="30" spans="1:13" ht="267.75">
      <c r="A30" s="43">
        <v>19</v>
      </c>
      <c r="B30" s="444" t="s">
        <v>604</v>
      </c>
      <c r="C30" s="444" t="s">
        <v>605</v>
      </c>
      <c r="D30" s="443">
        <v>151.4</v>
      </c>
      <c r="E30" s="443">
        <v>128.7</v>
      </c>
      <c r="F30" s="443"/>
      <c r="G30" s="443">
        <v>22.7</v>
      </c>
      <c r="H30" s="443">
        <v>112.5</v>
      </c>
      <c r="I30" s="443">
        <v>95.6</v>
      </c>
      <c r="J30" s="443">
        <v>16.9</v>
      </c>
      <c r="K30" s="443">
        <v>83.9</v>
      </c>
      <c r="L30" s="443"/>
      <c r="M30" s="444" t="s">
        <v>632</v>
      </c>
    </row>
    <row r="31" spans="1:13" ht="191.25">
      <c r="A31" s="43">
        <v>20</v>
      </c>
      <c r="B31" s="174" t="s">
        <v>606</v>
      </c>
      <c r="C31" s="174" t="s">
        <v>607</v>
      </c>
      <c r="D31" s="466">
        <v>375</v>
      </c>
      <c r="E31" s="466">
        <v>296.25</v>
      </c>
      <c r="F31" s="466"/>
      <c r="G31" s="466">
        <v>78.75</v>
      </c>
      <c r="H31" s="466">
        <v>80</v>
      </c>
      <c r="I31" s="466">
        <v>63.2</v>
      </c>
      <c r="J31" s="466">
        <v>16.8</v>
      </c>
      <c r="K31" s="466">
        <v>63.2</v>
      </c>
      <c r="L31" s="466"/>
      <c r="M31" s="174" t="s">
        <v>608</v>
      </c>
    </row>
    <row r="32" spans="1:13" ht="12.75">
      <c r="A32" s="43"/>
      <c r="B32" s="601" t="s">
        <v>609</v>
      </c>
      <c r="C32" s="599"/>
      <c r="D32" s="599"/>
      <c r="E32" s="599"/>
      <c r="F32" s="599"/>
      <c r="G32" s="600"/>
      <c r="H32" s="467">
        <f>SUM(H29:H31)</f>
        <v>268.1</v>
      </c>
      <c r="I32" s="467">
        <f>SUM(I29:I31)</f>
        <v>158.8</v>
      </c>
      <c r="J32" s="467">
        <f>SUM(J29:J31)</f>
        <v>45.099999999999994</v>
      </c>
      <c r="K32" s="467">
        <f>SUM(K29:K31)</f>
        <v>211.3</v>
      </c>
      <c r="L32" s="468"/>
      <c r="M32" s="174"/>
    </row>
    <row r="33" spans="1:13" ht="12.75">
      <c r="A33" s="27"/>
      <c r="B33" s="602" t="s">
        <v>195</v>
      </c>
      <c r="C33" s="603"/>
      <c r="D33" s="603"/>
      <c r="E33" s="603"/>
      <c r="F33" s="603"/>
      <c r="G33" s="604"/>
      <c r="H33" s="524">
        <f>H27+H32</f>
        <v>5140.600000000001</v>
      </c>
      <c r="I33" s="524">
        <f>I27+I32</f>
        <v>4278.6</v>
      </c>
      <c r="J33" s="524">
        <f>J27+J32</f>
        <v>744.7000000000002</v>
      </c>
      <c r="K33" s="524">
        <f>K27+K32</f>
        <v>221</v>
      </c>
      <c r="L33" s="524">
        <f>L27+L32</f>
        <v>12.5</v>
      </c>
      <c r="M33" s="27"/>
    </row>
    <row r="34" spans="1:13" ht="12.75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</row>
    <row r="35" spans="1:13" ht="12.75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</row>
    <row r="36" spans="1:13" ht="12.75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</row>
  </sheetData>
  <sheetProtection/>
  <mergeCells count="14">
    <mergeCell ref="A9:A11"/>
    <mergeCell ref="B9:B11"/>
    <mergeCell ref="C9:C11"/>
    <mergeCell ref="B6:L7"/>
    <mergeCell ref="B27:G27"/>
    <mergeCell ref="B28:M28"/>
    <mergeCell ref="B32:G32"/>
    <mergeCell ref="B33:G33"/>
    <mergeCell ref="D9:D11"/>
    <mergeCell ref="E10:E11"/>
    <mergeCell ref="F10:F11"/>
    <mergeCell ref="G10:G11"/>
    <mergeCell ref="I10:L10"/>
    <mergeCell ref="M10:M11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2017-02-14T11:36:25Z</cp:lastPrinted>
  <dcterms:created xsi:type="dcterms:W3CDTF">2013-02-05T08:01:03Z</dcterms:created>
  <dcterms:modified xsi:type="dcterms:W3CDTF">2017-02-21T08:36:14Z</dcterms:modified>
  <cp:category/>
  <cp:version/>
  <cp:contentType/>
  <cp:contentStatus/>
</cp:coreProperties>
</file>